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alokgupta/Desktop/"/>
    </mc:Choice>
  </mc:AlternateContent>
  <xr:revisionPtr revIDLastSave="0" documentId="13_ncr:1_{25296304-6222-C843-8420-339088EAFF57}" xr6:coauthVersionLast="45" xr6:coauthVersionMax="45" xr10:uidLastSave="{00000000-0000-0000-0000-000000000000}"/>
  <bookViews>
    <workbookView xWindow="780" yWindow="960" windowWidth="27640" windowHeight="16540" xr2:uid="{DF0C3B55-0393-C542-BB9E-235B84A15EB6}"/>
  </bookViews>
  <sheets>
    <sheet name="Integrated Table 1 - 4" sheetId="2" r:id="rId1"/>
    <sheet name="Sheet1" sheetId="1" r:id="rId2"/>
  </sheets>
  <definedNames>
    <definedName name="_xlnm._FilterDatabase" localSheetId="0" hidden="1">'Integrated Table 1 - 4'!$B$1:$K$2395</definedName>
    <definedName name="_ftnref1" localSheetId="0">'Integrated Table 1 - 4'!$G$2335</definedName>
    <definedName name="_ftnref2" localSheetId="0">'Integrated Table 1 - 4'!$G$2337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46" i="2" l="1"/>
  <c r="G647" i="2"/>
  <c r="G652" i="2"/>
  <c r="G655" i="2"/>
  <c r="G656" i="2"/>
  <c r="G657" i="2"/>
  <c r="G659" i="2"/>
  <c r="G661" i="2"/>
  <c r="G664" i="2"/>
  <c r="G666" i="2"/>
  <c r="G668" i="2"/>
  <c r="G669" i="2"/>
  <c r="G672" i="2"/>
  <c r="G673" i="2"/>
  <c r="G674" i="2"/>
  <c r="G675" i="2"/>
  <c r="G676" i="2"/>
  <c r="G678" i="2"/>
  <c r="G679" i="2"/>
  <c r="G680" i="2"/>
  <c r="G681" i="2"/>
  <c r="G682" i="2"/>
  <c r="G683" i="2"/>
  <c r="G685" i="2"/>
  <c r="G687" i="2"/>
  <c r="G688" i="2"/>
  <c r="G689" i="2"/>
  <c r="G690" i="2"/>
  <c r="G692" i="2"/>
  <c r="G695" i="2"/>
  <c r="G696" i="2"/>
  <c r="G697" i="2"/>
  <c r="G698" i="2"/>
  <c r="G699" i="2"/>
  <c r="G701" i="2"/>
  <c r="G702" i="2"/>
  <c r="G703" i="2"/>
  <c r="G704" i="2"/>
  <c r="G705" i="2"/>
  <c r="G707" i="2"/>
  <c r="G708" i="2"/>
  <c r="G711" i="2"/>
  <c r="G712" i="2"/>
  <c r="G714" i="2"/>
  <c r="G715" i="2"/>
  <c r="G716" i="2"/>
  <c r="G718" i="2"/>
  <c r="G719" i="2"/>
  <c r="G720" i="2"/>
  <c r="G721" i="2"/>
  <c r="G722" i="2"/>
  <c r="G726" i="2"/>
  <c r="G727" i="2"/>
  <c r="G729" i="2"/>
  <c r="G730" i="2"/>
  <c r="G731" i="2"/>
  <c r="G733" i="2"/>
  <c r="G734" i="2"/>
  <c r="G736" i="2"/>
  <c r="G737" i="2"/>
  <c r="G738" i="2"/>
  <c r="G739" i="2"/>
  <c r="G740" i="2"/>
  <c r="G741" i="2"/>
  <c r="G742" i="2"/>
  <c r="G744" i="2"/>
  <c r="G745" i="2"/>
  <c r="G746" i="2"/>
  <c r="G749" i="2"/>
  <c r="G750" i="2"/>
  <c r="G751" i="2"/>
  <c r="G752" i="2"/>
  <c r="G753" i="2"/>
  <c r="G754" i="2"/>
  <c r="G755" i="2"/>
  <c r="G757" i="2"/>
  <c r="G758" i="2"/>
  <c r="G759" i="2"/>
  <c r="G760" i="2"/>
  <c r="G761" i="2"/>
  <c r="G762" i="2"/>
  <c r="G763" i="2"/>
  <c r="G764" i="2"/>
  <c r="G765" i="2"/>
  <c r="G766" i="2"/>
  <c r="G767" i="2"/>
  <c r="G768" i="2"/>
  <c r="G769" i="2"/>
  <c r="G770" i="2"/>
  <c r="G772" i="2"/>
  <c r="G774" i="2"/>
  <c r="G775" i="2"/>
  <c r="G776" i="2"/>
  <c r="G778" i="2"/>
  <c r="G781" i="2"/>
  <c r="G782" i="2"/>
  <c r="G783" i="2"/>
  <c r="G784" i="2"/>
  <c r="G785" i="2"/>
  <c r="G787" i="2"/>
  <c r="G788" i="2"/>
  <c r="G789" i="2"/>
  <c r="G790" i="2"/>
  <c r="G791" i="2"/>
  <c r="G793" i="2"/>
  <c r="G794" i="2"/>
  <c r="G798" i="2"/>
  <c r="G799" i="2"/>
  <c r="G800" i="2"/>
  <c r="G801" i="2"/>
  <c r="G802" i="2"/>
  <c r="G803" i="2"/>
  <c r="G804" i="2"/>
  <c r="G805" i="2"/>
  <c r="G806" i="2"/>
  <c r="G807" i="2"/>
  <c r="G808" i="2"/>
  <c r="G809" i="2"/>
  <c r="G811" i="2"/>
  <c r="G812" i="2"/>
  <c r="G813" i="2"/>
  <c r="G814" i="2"/>
  <c r="G815" i="2"/>
  <c r="G817" i="2"/>
  <c r="G818" i="2"/>
  <c r="G819" i="2"/>
  <c r="G820" i="2"/>
  <c r="G821" i="2"/>
  <c r="G822" i="2"/>
  <c r="G823" i="2"/>
  <c r="G824" i="2"/>
  <c r="G825" i="2"/>
  <c r="G827" i="2"/>
  <c r="G831" i="2"/>
  <c r="G833" i="2"/>
  <c r="G835" i="2"/>
  <c r="G837" i="2"/>
  <c r="G838" i="2"/>
  <c r="G840" i="2"/>
  <c r="G841" i="2"/>
  <c r="G842" i="2"/>
  <c r="G844" i="2"/>
  <c r="G846" i="2"/>
  <c r="G847" i="2"/>
  <c r="G849" i="2"/>
  <c r="G852" i="2"/>
  <c r="G853" i="2"/>
  <c r="G854" i="2"/>
  <c r="G856" i="2"/>
  <c r="G860" i="2"/>
  <c r="G862" i="2"/>
  <c r="G864" i="2"/>
  <c r="G867" i="2"/>
  <c r="G868" i="2"/>
  <c r="G869" i="2"/>
  <c r="G871" i="2"/>
  <c r="G872" i="2"/>
  <c r="G873" i="2"/>
  <c r="G875" i="2"/>
  <c r="G877" i="2"/>
  <c r="G879" i="2"/>
  <c r="G880" i="2"/>
  <c r="G881" i="2"/>
  <c r="G882" i="2"/>
  <c r="G883" i="2"/>
  <c r="G884" i="2"/>
  <c r="G885" i="2"/>
  <c r="G886" i="2"/>
  <c r="G887" i="2"/>
  <c r="G888" i="2"/>
  <c r="G889" i="2"/>
  <c r="G890" i="2"/>
  <c r="G891" i="2"/>
  <c r="G893" i="2"/>
  <c r="G896" i="2"/>
  <c r="G897" i="2"/>
  <c r="G899" i="2"/>
  <c r="G900" i="2"/>
  <c r="G901" i="2"/>
  <c r="G902" i="2"/>
  <c r="G906" i="2"/>
  <c r="G907" i="2"/>
  <c r="G908" i="2"/>
  <c r="G910" i="2"/>
  <c r="G913" i="2"/>
  <c r="G914" i="2"/>
  <c r="G916" i="2"/>
  <c r="G917" i="2"/>
  <c r="G919" i="2"/>
  <c r="G921" i="2"/>
  <c r="G922" i="2"/>
  <c r="G923" i="2"/>
  <c r="G925" i="2"/>
  <c r="G927" i="2"/>
  <c r="G928" i="2"/>
  <c r="G930" i="2"/>
  <c r="G931" i="2"/>
  <c r="G932" i="2"/>
  <c r="G936" i="2"/>
  <c r="G937" i="2"/>
  <c r="G938" i="2"/>
  <c r="G939" i="2"/>
  <c r="G940" i="2"/>
  <c r="G942" i="2"/>
  <c r="G943" i="2"/>
  <c r="G944" i="2"/>
  <c r="G946" i="2"/>
  <c r="G947" i="2"/>
  <c r="G949" i="2"/>
  <c r="G951" i="2"/>
  <c r="G953" i="2"/>
  <c r="G954" i="2"/>
  <c r="G955" i="2"/>
  <c r="G956" i="2"/>
  <c r="G960" i="2"/>
  <c r="G963" i="2"/>
  <c r="G965" i="2"/>
  <c r="G966" i="2"/>
  <c r="G967" i="2"/>
  <c r="G969" i="2"/>
  <c r="G974" i="2"/>
  <c r="G975" i="2"/>
  <c r="G976" i="2"/>
  <c r="G978" i="2"/>
  <c r="G980" i="2"/>
  <c r="G981" i="2"/>
  <c r="G982" i="2"/>
  <c r="G983" i="2"/>
  <c r="G984" i="2"/>
  <c r="G987" i="2"/>
  <c r="G988" i="2"/>
  <c r="G989" i="2"/>
  <c r="G990" i="2"/>
  <c r="G991" i="2"/>
  <c r="G992" i="2"/>
  <c r="G993" i="2"/>
  <c r="G994" i="2"/>
  <c r="G995" i="2"/>
  <c r="G996" i="2"/>
  <c r="G997" i="2"/>
  <c r="G998" i="2"/>
  <c r="G999" i="2"/>
  <c r="G1000" i="2"/>
  <c r="G1001" i="2"/>
  <c r="G1002" i="2"/>
  <c r="G1004" i="2"/>
  <c r="G1005" i="2"/>
  <c r="G1010" i="2"/>
  <c r="G1011" i="2"/>
  <c r="G1014" i="2"/>
  <c r="G1015" i="2"/>
  <c r="G1021" i="2"/>
  <c r="G1022" i="2"/>
  <c r="G1024" i="2"/>
  <c r="G1025" i="2"/>
  <c r="G1027" i="2"/>
  <c r="G1028" i="2"/>
  <c r="G1029" i="2"/>
  <c r="G1030" i="2"/>
  <c r="G1031" i="2"/>
  <c r="G1032" i="2"/>
  <c r="G1033" i="2"/>
  <c r="G1034" i="2"/>
  <c r="G1035" i="2"/>
  <c r="G1036" i="2"/>
  <c r="G1037" i="2"/>
  <c r="G1038" i="2"/>
  <c r="G1039" i="2"/>
  <c r="G1041" i="2"/>
  <c r="G1042" i="2"/>
  <c r="G1044" i="2"/>
  <c r="G1046" i="2"/>
  <c r="G1047" i="2"/>
  <c r="G1048" i="2"/>
  <c r="G1050" i="2"/>
  <c r="G1051" i="2"/>
  <c r="G1052" i="2"/>
  <c r="G1053" i="2"/>
  <c r="G1054" i="2"/>
  <c r="G1055" i="2"/>
  <c r="G1057" i="2"/>
  <c r="G1058" i="2"/>
  <c r="G1059" i="2"/>
  <c r="G1060" i="2"/>
  <c r="G1061" i="2"/>
  <c r="G1064" i="2"/>
  <c r="G1065" i="2"/>
  <c r="G1066" i="2"/>
  <c r="G1067" i="2"/>
  <c r="G1068" i="2"/>
  <c r="G1069" i="2"/>
  <c r="G1070" i="2"/>
  <c r="G1071" i="2"/>
  <c r="G1072" i="2"/>
  <c r="G1073" i="2"/>
  <c r="G1079" i="2"/>
  <c r="G1080" i="2"/>
  <c r="G1082" i="2"/>
  <c r="G1083" i="2"/>
  <c r="G1085" i="2"/>
  <c r="G1087" i="2"/>
  <c r="G1088" i="2"/>
  <c r="G1089" i="2"/>
  <c r="G1090" i="2"/>
  <c r="G1091" i="2"/>
  <c r="G1092" i="2"/>
  <c r="G1093" i="2"/>
  <c r="G1094" i="2"/>
  <c r="G1095" i="2"/>
  <c r="G1097" i="2"/>
  <c r="G1098" i="2"/>
  <c r="G1099" i="2"/>
  <c r="G1101" i="2"/>
  <c r="G1103" i="2"/>
  <c r="G1106" i="2"/>
  <c r="G1108" i="2"/>
  <c r="G1109" i="2"/>
  <c r="G1110" i="2"/>
  <c r="G1112" i="2"/>
  <c r="G1114" i="2"/>
  <c r="G1115" i="2"/>
  <c r="G1116" i="2"/>
  <c r="G1117" i="2"/>
  <c r="G1118" i="2"/>
  <c r="G1119" i="2"/>
  <c r="G1122" i="2"/>
  <c r="G1123" i="2"/>
  <c r="G1124" i="2"/>
  <c r="G1125" i="2"/>
  <c r="G1126" i="2"/>
  <c r="G1127" i="2"/>
  <c r="G1128" i="2"/>
  <c r="G1129" i="2"/>
  <c r="G1130" i="2"/>
  <c r="G1131" i="2"/>
  <c r="G1132" i="2"/>
  <c r="G1133" i="2"/>
  <c r="G1136" i="2"/>
  <c r="G1137" i="2"/>
  <c r="G1138" i="2"/>
  <c r="G1139" i="2"/>
  <c r="G1140" i="2"/>
  <c r="G1141" i="2"/>
  <c r="G1142" i="2"/>
  <c r="G1143" i="2"/>
  <c r="G1146" i="2"/>
  <c r="G1147" i="2"/>
  <c r="G1148" i="2"/>
  <c r="G1149" i="2"/>
  <c r="G1150" i="2"/>
  <c r="G1151" i="2"/>
  <c r="G1153" i="2"/>
  <c r="G1155" i="2"/>
  <c r="G1156" i="2"/>
  <c r="G1157" i="2"/>
  <c r="G1158" i="2"/>
  <c r="G1159" i="2"/>
  <c r="G1160" i="2"/>
  <c r="G1161" i="2"/>
  <c r="G1162" i="2"/>
  <c r="G1165" i="2"/>
  <c r="G1166" i="2"/>
  <c r="G1167" i="2"/>
  <c r="G1168" i="2"/>
  <c r="G1169" i="2"/>
  <c r="G1171" i="2"/>
  <c r="G1172" i="2"/>
  <c r="G1173" i="2"/>
  <c r="G1175" i="2"/>
  <c r="G1176" i="2"/>
  <c r="G1177" i="2"/>
  <c r="G1178" i="2"/>
  <c r="G1179" i="2"/>
  <c r="G1181" i="2"/>
  <c r="G1182" i="2"/>
  <c r="G1184" i="2"/>
  <c r="G1187" i="2"/>
  <c r="G1189" i="2"/>
  <c r="G1190" i="2"/>
  <c r="G1191" i="2"/>
  <c r="G1195" i="2"/>
  <c r="G1196" i="2"/>
  <c r="G1197" i="2"/>
  <c r="G1198" i="2"/>
  <c r="G1200" i="2"/>
  <c r="G1202" i="2"/>
  <c r="G1203" i="2"/>
  <c r="G1204" i="2"/>
  <c r="G1205" i="2"/>
  <c r="G1206" i="2"/>
  <c r="G1207" i="2"/>
  <c r="G1208" i="2"/>
  <c r="G1210" i="2"/>
  <c r="G1211" i="2"/>
  <c r="G1214" i="2"/>
  <c r="G1215" i="2"/>
  <c r="G1216" i="2"/>
  <c r="G1217" i="2"/>
  <c r="G1218" i="2"/>
  <c r="G1219" i="2"/>
  <c r="G1220" i="2"/>
  <c r="G1221" i="2"/>
  <c r="G1222" i="2"/>
  <c r="G1223" i="2"/>
  <c r="G1224" i="2"/>
  <c r="G1225" i="2"/>
  <c r="G1226" i="2"/>
  <c r="G1227" i="2"/>
  <c r="G1228" i="2"/>
  <c r="G1229" i="2"/>
  <c r="G1230" i="2"/>
  <c r="G1231" i="2"/>
  <c r="G1232" i="2"/>
  <c r="G1233" i="2"/>
  <c r="G1234" i="2"/>
  <c r="G1235" i="2"/>
  <c r="G1236" i="2"/>
  <c r="G1237" i="2"/>
  <c r="G1238" i="2"/>
  <c r="G1239" i="2"/>
  <c r="G1240" i="2"/>
  <c r="G1241" i="2"/>
  <c r="G1243" i="2"/>
  <c r="G1244" i="2"/>
  <c r="G1246" i="2"/>
  <c r="G1247" i="2"/>
  <c r="G1248" i="2"/>
  <c r="G1250" i="2"/>
  <c r="G1251" i="2"/>
  <c r="G1252" i="2"/>
  <c r="G1253" i="2"/>
  <c r="G1254" i="2"/>
  <c r="G1255" i="2"/>
  <c r="G1256" i="2"/>
  <c r="G1257" i="2"/>
  <c r="G1260" i="2"/>
  <c r="G1261" i="2"/>
  <c r="G1262" i="2"/>
  <c r="G1264" i="2"/>
  <c r="G1265" i="2"/>
  <c r="G1267" i="2"/>
  <c r="G1268" i="2"/>
  <c r="G1270" i="2"/>
  <c r="G1271" i="2"/>
  <c r="G1273" i="2"/>
  <c r="G1275" i="2"/>
  <c r="G1277" i="2"/>
  <c r="G1278" i="2"/>
  <c r="G1280" i="2"/>
  <c r="G1281" i="2"/>
  <c r="G1282" i="2"/>
  <c r="G1283" i="2"/>
  <c r="G1284" i="2"/>
  <c r="G1287" i="2"/>
  <c r="G1288" i="2"/>
  <c r="G1290" i="2"/>
  <c r="G1291" i="2"/>
  <c r="G1292" i="2"/>
  <c r="G1293" i="2"/>
  <c r="G1295" i="2"/>
  <c r="G1296" i="2"/>
  <c r="G1297" i="2"/>
  <c r="G1298" i="2"/>
  <c r="G1299" i="2"/>
  <c r="G1300" i="2"/>
  <c r="G1302" i="2"/>
  <c r="G1303" i="2"/>
  <c r="G1304" i="2"/>
  <c r="G1305" i="2"/>
  <c r="G1306" i="2"/>
  <c r="G1307" i="2"/>
  <c r="G1309" i="2"/>
  <c r="G1310" i="2"/>
  <c r="G1311" i="2"/>
  <c r="G1312" i="2"/>
  <c r="G1313" i="2"/>
  <c r="G1314" i="2"/>
  <c r="G1315" i="2"/>
  <c r="G1316" i="2"/>
  <c r="G1317" i="2"/>
  <c r="G1318" i="2"/>
  <c r="G1319" i="2"/>
  <c r="G1320" i="2"/>
  <c r="G1321" i="2"/>
  <c r="G1322" i="2"/>
  <c r="G1324" i="2"/>
  <c r="G1325" i="2"/>
  <c r="G1330" i="2"/>
  <c r="G1331" i="2"/>
  <c r="G1332" i="2"/>
  <c r="G1333" i="2"/>
  <c r="G1334" i="2"/>
  <c r="G1336" i="2"/>
  <c r="G1337" i="2"/>
  <c r="G1338" i="2"/>
  <c r="G1339" i="2"/>
  <c r="G1340" i="2"/>
  <c r="G1341" i="2"/>
  <c r="G1342" i="2"/>
  <c r="G1343" i="2"/>
  <c r="G1344" i="2"/>
  <c r="G1347" i="2"/>
  <c r="G1349" i="2"/>
  <c r="G1350" i="2"/>
  <c r="G1352" i="2"/>
  <c r="G1353" i="2"/>
  <c r="G1355" i="2"/>
  <c r="G1356" i="2"/>
  <c r="G1358" i="2"/>
  <c r="G1359" i="2"/>
  <c r="G1360" i="2"/>
  <c r="G1364" i="2"/>
  <c r="G1365" i="2"/>
  <c r="G1367" i="2"/>
  <c r="G1369" i="2"/>
  <c r="G1370" i="2"/>
  <c r="G1372" i="2"/>
  <c r="G1373" i="2"/>
  <c r="G1374" i="2"/>
  <c r="G1377" i="2"/>
  <c r="G1378" i="2"/>
  <c r="G1379" i="2"/>
  <c r="G1381" i="2"/>
  <c r="G1382" i="2"/>
  <c r="G1383" i="2"/>
  <c r="G1384" i="2"/>
  <c r="G1385" i="2"/>
  <c r="G1390" i="2"/>
  <c r="G1395" i="2"/>
  <c r="G1397" i="2"/>
  <c r="G1398" i="2"/>
  <c r="G1399" i="2"/>
  <c r="G1401" i="2"/>
  <c r="G1402" i="2"/>
  <c r="G1403" i="2"/>
  <c r="G1404" i="2"/>
  <c r="G1405" i="2"/>
  <c r="G1406" i="2"/>
  <c r="G1409" i="2"/>
  <c r="G1410" i="2"/>
  <c r="G1411" i="2"/>
  <c r="G1412" i="2"/>
  <c r="G1413" i="2"/>
  <c r="G1414" i="2"/>
  <c r="G1415" i="2"/>
  <c r="G1418" i="2"/>
  <c r="G1419" i="2"/>
  <c r="G1420" i="2"/>
  <c r="G1421" i="2"/>
  <c r="G1422" i="2"/>
  <c r="G1423" i="2"/>
  <c r="G1424" i="2"/>
  <c r="G1425" i="2"/>
  <c r="G1426" i="2"/>
  <c r="G1427" i="2"/>
  <c r="G1428" i="2"/>
  <c r="G1429" i="2"/>
  <c r="G1430" i="2"/>
  <c r="G1432" i="2"/>
  <c r="G1433" i="2"/>
  <c r="G1435" i="2"/>
  <c r="G1436" i="2"/>
  <c r="G1437" i="2"/>
  <c r="G1438" i="2"/>
  <c r="G1439" i="2"/>
  <c r="G1440" i="2"/>
  <c r="G1441" i="2"/>
  <c r="G1443" i="2"/>
  <c r="G1444" i="2"/>
  <c r="G1445" i="2"/>
  <c r="G1446" i="2"/>
  <c r="G1447" i="2"/>
  <c r="G1448" i="2"/>
  <c r="G1449" i="2"/>
  <c r="G1450" i="2"/>
  <c r="G1455" i="2"/>
  <c r="G1456" i="2"/>
  <c r="G1457" i="2"/>
  <c r="G1459" i="2"/>
  <c r="G1460" i="2"/>
  <c r="G1461" i="2"/>
  <c r="G1463" i="2"/>
  <c r="G1464" i="2"/>
  <c r="G1466" i="2"/>
  <c r="G1470" i="2"/>
  <c r="G1471" i="2"/>
  <c r="G1472" i="2"/>
  <c r="G1482" i="2"/>
  <c r="G1492" i="2"/>
  <c r="G1494" i="2"/>
  <c r="G1498" i="2"/>
  <c r="G1501" i="2"/>
  <c r="G1506" i="2"/>
  <c r="G1512" i="2"/>
  <c r="G1516" i="2"/>
  <c r="G1517" i="2"/>
  <c r="G1518" i="2"/>
  <c r="G1525" i="2"/>
  <c r="G1530" i="2"/>
  <c r="G1532" i="2"/>
  <c r="G1538" i="2"/>
  <c r="G1539" i="2"/>
  <c r="G1544" i="2"/>
  <c r="G1545" i="2"/>
  <c r="G1548" i="2"/>
  <c r="G1552" i="2"/>
  <c r="G1554" i="2"/>
  <c r="G1556" i="2"/>
  <c r="G1557" i="2"/>
  <c r="G1558" i="2"/>
  <c r="G1563" i="2"/>
  <c r="G1567" i="2"/>
  <c r="G1570" i="2"/>
  <c r="G1581" i="2"/>
  <c r="G1582" i="2"/>
  <c r="G1583" i="2"/>
  <c r="G1587" i="2"/>
  <c r="G1588" i="2"/>
  <c r="G1589" i="2"/>
  <c r="G1597" i="2"/>
  <c r="G1598" i="2"/>
  <c r="G1599" i="2"/>
  <c r="G1602" i="2"/>
  <c r="G1605" i="2"/>
  <c r="G1606" i="2"/>
  <c r="G1609" i="2"/>
  <c r="G1610" i="2"/>
  <c r="G1611" i="2"/>
  <c r="G1614" i="2"/>
  <c r="G1615" i="2"/>
  <c r="G1619" i="2"/>
  <c r="G1621" i="2"/>
  <c r="G1622" i="2"/>
  <c r="G1624" i="2"/>
  <c r="G1629" i="2"/>
  <c r="G1634" i="2"/>
  <c r="G1635" i="2"/>
  <c r="G1637" i="2"/>
  <c r="G1642" i="2"/>
  <c r="G1645" i="2"/>
  <c r="G1647" i="2"/>
  <c r="G1649" i="2"/>
  <c r="G1650" i="2"/>
  <c r="G1653" i="2"/>
  <c r="G1654" i="2"/>
  <c r="G1656" i="2"/>
  <c r="G1659" i="2"/>
  <c r="G1662" i="2"/>
  <c r="G1665" i="2"/>
  <c r="G1666" i="2"/>
  <c r="G1667" i="2"/>
  <c r="G1669" i="2"/>
  <c r="G1670" i="2"/>
  <c r="G1672" i="2"/>
  <c r="G1674" i="2"/>
  <c r="G1677" i="2"/>
  <c r="G1685" i="2"/>
  <c r="G1689" i="2"/>
  <c r="G1690" i="2"/>
  <c r="G1693" i="2"/>
  <c r="G1694" i="2"/>
  <c r="G1700" i="2"/>
  <c r="G1701" i="2"/>
  <c r="G1703" i="2"/>
  <c r="G1705" i="2"/>
  <c r="G1708" i="2"/>
  <c r="G1710" i="2"/>
  <c r="G1713" i="2"/>
  <c r="G1714" i="2"/>
  <c r="G1723" i="2"/>
  <c r="G1724" i="2"/>
  <c r="G1725" i="2"/>
  <c r="G1726" i="2"/>
  <c r="G1727" i="2"/>
  <c r="G1734" i="2"/>
  <c r="G1735" i="2"/>
  <c r="G1741" i="2"/>
  <c r="G1742" i="2"/>
  <c r="G1746" i="2"/>
  <c r="G1748" i="2"/>
  <c r="G1751" i="2"/>
  <c r="G1752" i="2"/>
  <c r="G1753" i="2"/>
  <c r="G1757" i="2"/>
  <c r="G1767" i="2"/>
  <c r="G1774" i="2"/>
  <c r="G1775" i="2"/>
  <c r="G1777" i="2"/>
  <c r="G1804" i="2"/>
  <c r="G1812" i="2"/>
  <c r="G1815" i="2"/>
  <c r="G1824" i="2"/>
  <c r="G1828" i="2"/>
  <c r="G1829" i="2"/>
  <c r="G1837" i="2"/>
  <c r="G1838" i="2"/>
  <c r="G1840" i="2"/>
  <c r="G1856" i="2"/>
  <c r="G1858" i="2"/>
  <c r="G1861" i="2"/>
  <c r="G1863" i="2"/>
  <c r="G1864" i="2"/>
  <c r="G1869" i="2"/>
  <c r="G1870" i="2"/>
  <c r="G1871" i="2"/>
  <c r="G1877" i="2"/>
  <c r="G1882" i="2"/>
  <c r="G1883" i="2"/>
  <c r="G1885" i="2"/>
  <c r="G1887" i="2"/>
  <c r="G1888" i="2"/>
  <c r="G1891" i="2"/>
  <c r="G1902" i="2"/>
  <c r="G1908" i="2"/>
  <c r="G1914" i="2"/>
  <c r="G1924" i="2"/>
  <c r="G1928" i="2"/>
  <c r="G1929" i="2"/>
  <c r="G1930" i="2"/>
  <c r="G1931" i="2"/>
  <c r="G1935" i="2"/>
  <c r="G1936" i="2"/>
  <c r="G1943" i="2"/>
  <c r="G1948" i="2"/>
  <c r="G1957" i="2"/>
  <c r="G1959" i="2"/>
  <c r="G1964" i="2"/>
  <c r="G1966" i="2"/>
  <c r="G1967" i="2"/>
  <c r="G1973" i="2"/>
  <c r="G1975" i="2"/>
  <c r="G1978" i="2"/>
  <c r="G1980" i="2"/>
  <c r="G1984" i="2"/>
  <c r="G1985" i="2"/>
  <c r="G1988" i="2"/>
  <c r="G1989" i="2"/>
  <c r="G1990" i="2"/>
  <c r="G1991" i="2"/>
  <c r="G1993" i="2"/>
  <c r="G2004" i="2"/>
  <c r="G2006" i="2"/>
  <c r="G2007" i="2"/>
  <c r="G2009" i="2"/>
  <c r="G2016" i="2"/>
  <c r="G2023" i="2"/>
  <c r="G2024" i="2"/>
  <c r="G2025" i="2"/>
  <c r="G2027" i="2"/>
  <c r="G2028" i="2"/>
  <c r="G2044" i="2"/>
  <c r="G2046" i="2"/>
  <c r="G2047" i="2"/>
  <c r="G2049" i="2"/>
  <c r="G2062" i="2"/>
  <c r="G2063" i="2"/>
  <c r="G2064" i="2"/>
  <c r="G2073" i="2"/>
  <c r="G2083" i="2"/>
  <c r="G2085" i="2"/>
  <c r="G2090" i="2"/>
  <c r="G2094" i="2"/>
  <c r="G2097" i="2"/>
  <c r="G2098" i="2"/>
  <c r="G2102" i="2"/>
  <c r="G2112" i="2"/>
  <c r="G2116" i="2"/>
  <c r="G2118" i="2"/>
  <c r="G2119" i="2"/>
  <c r="G2128" i="2"/>
  <c r="G2129" i="2"/>
  <c r="G2137" i="2"/>
  <c r="G2139" i="2"/>
  <c r="G2140" i="2"/>
  <c r="G2141" i="2"/>
  <c r="G2142" i="2"/>
  <c r="G2143" i="2"/>
  <c r="G2147" i="2"/>
  <c r="G2149" i="2"/>
  <c r="G2154" i="2"/>
  <c r="G2172" i="2"/>
  <c r="G2173" i="2"/>
  <c r="G2174" i="2"/>
  <c r="G2178" i="2"/>
  <c r="G2180" i="2"/>
  <c r="G2185" i="2"/>
  <c r="G2187" i="2"/>
  <c r="G2189" i="2"/>
  <c r="G2192" i="2"/>
  <c r="G2194" i="2"/>
  <c r="G2195" i="2"/>
  <c r="G2203" i="2"/>
  <c r="G2209" i="2"/>
  <c r="G2210" i="2"/>
  <c r="G2213" i="2"/>
  <c r="G2216" i="2"/>
  <c r="G2222" i="2"/>
  <c r="G2226" i="2"/>
  <c r="G2227" i="2"/>
  <c r="G2228" i="2"/>
  <c r="G2234" i="2"/>
  <c r="G2235" i="2"/>
  <c r="G2237" i="2"/>
  <c r="G2241" i="2"/>
  <c r="G2243" i="2"/>
  <c r="G2251" i="2"/>
  <c r="G2252" i="2"/>
  <c r="G2255" i="2"/>
  <c r="G2261" i="2"/>
  <c r="G2265" i="2"/>
  <c r="G2266" i="2"/>
  <c r="G2267" i="2"/>
  <c r="G2268" i="2"/>
  <c r="G2275" i="2"/>
  <c r="G2282" i="2"/>
  <c r="G2286" i="2"/>
  <c r="G2305" i="2"/>
  <c r="G2306" i="2"/>
  <c r="G2311" i="2"/>
  <c r="G2320" i="2"/>
  <c r="G2338" i="2"/>
  <c r="G2344" i="2"/>
</calcChain>
</file>

<file path=xl/sharedStrings.xml><?xml version="1.0" encoding="utf-8"?>
<sst xmlns="http://schemas.openxmlformats.org/spreadsheetml/2006/main" count="22804" uniqueCount="3245">
  <si>
    <t>Dog</t>
  </si>
  <si>
    <t>Illegal Slaughter for Meat</t>
  </si>
  <si>
    <t>Companion Animals</t>
  </si>
  <si>
    <t>News</t>
  </si>
  <si>
    <t>Dogs are killed on a large scale for human consumption, especially during winters.</t>
  </si>
  <si>
    <t>No Information</t>
  </si>
  <si>
    <t>Manipur</t>
  </si>
  <si>
    <t>Imphal</t>
  </si>
  <si>
    <t>4. Assault</t>
  </si>
  <si>
    <t>Assault by Children</t>
  </si>
  <si>
    <t>Street Animals</t>
  </si>
  <si>
    <t>Social Media</t>
  </si>
  <si>
    <t>A man abuses and instigates Street dogs for getting views and likes on social media.</t>
  </si>
  <si>
    <t>Bihar</t>
  </si>
  <si>
    <t>Muzaffarpur</t>
  </si>
  <si>
    <t>Assault</t>
  </si>
  <si>
    <t>A Street dog who entered a house looking for food was attacked by its residents with boiling water. The animal has serious burn injuries near his forelimbs and hinlimbs.</t>
  </si>
  <si>
    <t>No case</t>
  </si>
  <si>
    <t>Maharashtra</t>
  </si>
  <si>
    <t>Monkey</t>
  </si>
  <si>
    <t>Murder</t>
  </si>
  <si>
    <t>Wild Animal</t>
  </si>
  <si>
    <t>A few youths in Khammam district of Telangana cruelly killed a monkey by hanging it from a tree and releasing dogs to attack it.</t>
  </si>
  <si>
    <t>Police Complaint Filed</t>
  </si>
  <si>
    <t>Telangana</t>
  </si>
  <si>
    <t>Khammam</t>
  </si>
  <si>
    <t>A man working in a resort of Adipur in Gujarat's Kutch killed a puppy by bending its scruff. He also recorded video on his mobile phone and circulated it on social media.</t>
  </si>
  <si>
    <t>PCA + IPC</t>
  </si>
  <si>
    <t>Gujarat</t>
  </si>
  <si>
    <t>Adipur</t>
  </si>
  <si>
    <t>Street Animal</t>
  </si>
  <si>
    <t>3 dogs were killed by mixing poisonous chemicals in their food.</t>
  </si>
  <si>
    <t>Navi Mumbai</t>
  </si>
  <si>
    <t>Cattle</t>
  </si>
  <si>
    <t>Bull</t>
  </si>
  <si>
    <t>The Fire and Emergency Services personnel of New Mangalore Port Trust (NMPT) succeeded in saving a bull by removing the rope around its neck that was almost strangulating it. The rope may have been tied around the animal’s neck by illegal cattle transporters in an attempt to steal the bull. Stray cattle in the NMPT area have been subjected to cruelty by illegal cattle transporters.</t>
  </si>
  <si>
    <t>Karnataka</t>
  </si>
  <si>
    <t>Mangaluru</t>
  </si>
  <si>
    <t>3 dogs were mercilessly beaten to death with heavy wooden sticks by four people. A suo moto FIR has been filed.</t>
  </si>
  <si>
    <t>Karad</t>
  </si>
  <si>
    <t>Change.org Petition</t>
  </si>
  <si>
    <t>A pregnant dog's head was chopped off by corporation workers in Varanasi.</t>
  </si>
  <si>
    <t>Uttar Pradesh</t>
  </si>
  <si>
    <t>Varanasi</t>
  </si>
  <si>
    <t>A  dog's head was chopped off in Kolkata.</t>
  </si>
  <si>
    <t>Leopard</t>
  </si>
  <si>
    <t>An eight year old male leopard was lynched, its teeth removed, and subsequently paraded by a group of people in the Katahbari Pahar area of Guwahati. It had been initially caught with a rope trap by the locals. In a video, three-four men can be seen parading the carcass of the animal to the hoots and cheers by the surrounding crowd. Six people have been arrested. Since the animal’s teeth were also removed, they will also be charged with a case of poaching.</t>
  </si>
  <si>
    <t>Assam</t>
  </si>
  <si>
    <t>Guwahati</t>
  </si>
  <si>
    <t>Tiger</t>
  </si>
  <si>
    <t xml:space="preserve">Confinement and Assault </t>
  </si>
  <si>
    <t>The nomad tiger from Maharashtra, which made headline in 2018 for the longest dispersal in the quickest time in the country, will have to spend the rest of its life behind bars, in solitary confinement. The authorities declared it "dangerous" to human life in compliance with the 2019 NTCA guidelines and decided to keep it in an enclosure, as it has killed 3 people.</t>
  </si>
  <si>
    <t>Madhya Pradesh</t>
  </si>
  <si>
    <t>Bhopal</t>
  </si>
  <si>
    <t>A recently surfaced video shows two men on a bike dragging a dog with a chain around his neck for at least one kilometre.</t>
  </si>
  <si>
    <t>PCA</t>
  </si>
  <si>
    <t>Aurangabad</t>
  </si>
  <si>
    <t>Cow</t>
  </si>
  <si>
    <t>Some miscreants made a cow eat wheat with crackers causing serious facial injuris to the animal. The cow can be seen bleeding with a portion of its face blown away.</t>
  </si>
  <si>
    <t>Himachal Pradesh</t>
  </si>
  <si>
    <t>Bilaspur</t>
  </si>
  <si>
    <t>A lawyer, his family members and a family help beat up a dog to death when it inadvertendly entered their house.</t>
  </si>
  <si>
    <t>Uttarakhand</t>
  </si>
  <si>
    <t>Dehradun</t>
  </si>
  <si>
    <t>Elephant</t>
  </si>
  <si>
    <t>An elephant that was pregnant died in Kerala, standing in water after she ate a pineapple filled with firecrackers, allegedly left by some locals. The fruit exploded in her mouth, leading to the inevitable tragedy.</t>
  </si>
  <si>
    <t>Kerala</t>
  </si>
  <si>
    <t>Palakkad</t>
  </si>
  <si>
    <t>Dog killed</t>
  </si>
  <si>
    <t>Meerut</t>
  </si>
  <si>
    <t>A lady can be seen tying a rope around a puppy's neck and flinging the puppy by its neck, causing its death by strangulation.</t>
  </si>
  <si>
    <t>Haryana</t>
  </si>
  <si>
    <t>Gurgaon</t>
  </si>
  <si>
    <t>A video on Tiktok came up where a dog Is tied with roped completely and is flung into a lake by two teenage boys, thereby drowning it.</t>
  </si>
  <si>
    <t>Ujjain</t>
  </si>
  <si>
    <t>Cat</t>
  </si>
  <si>
    <t>A video was uploaded on Tiktok showing a dead cat hanging by a rope tied to the ceiling of a house. It also shows a youth touching the cat and making it swing below the pole to which the rope was tied,</t>
  </si>
  <si>
    <t>Tamil Nadu</t>
  </si>
  <si>
    <t>Tirunelveli</t>
  </si>
  <si>
    <t>Companion Animal</t>
  </si>
  <si>
    <t>A pet dog of a family had allegedly bitten one of the accused in Balaji Nagar of Bhopal's Ratibad area. This led to a dispute between the dog owner and the accused whom the dog had bitten. The dog's owner assured the accused that the dog had been vaccinated for rabies. However, the accused was in no mood to listen to the dog owner and an argument broke out between the two. The accused later forcibly entered the house of the dog owner along with two of friends. The three then beat up the chain-bound dog, stuffed its mouth to prevent from barking and tied a wire around the dog's neck and hung him from the stairs. The dog died due to suffocation.</t>
  </si>
  <si>
    <t>IPC</t>
  </si>
  <si>
    <t>Animal Sexual Assault (ASA)</t>
  </si>
  <si>
    <t>A man was caught on camera raping a cow.</t>
  </si>
  <si>
    <t>Guna</t>
  </si>
  <si>
    <t>Dolphin</t>
  </si>
  <si>
    <t>Wild Animals</t>
  </si>
  <si>
    <t>The incident came to light after one Rafiku Saihk uploaded a video on Vigo that showed a group of men holding an infant dolphin by its snout and tail, thereby torturing it.</t>
  </si>
  <si>
    <t>West Bengal</t>
  </si>
  <si>
    <t>Kolkata</t>
  </si>
  <si>
    <t>A puppy named Hope beaten and killed outside Ashiyana Housing Society in Lucknow.</t>
  </si>
  <si>
    <t>Lucknow</t>
  </si>
  <si>
    <t>Assault by negligence</t>
  </si>
  <si>
    <t>Angelo is a bull who we found in excruciating pain with multiple ropes digging through the flesh of his front leg clear to the bone. The wound was a result of someone having tightly tied his leg to his horns--a devastating technique used by ignorant farmers to keep cows from escaping, and to prevent bulls from mating because they cannot lift their heads.</t>
  </si>
  <si>
    <t>Rajasthan</t>
  </si>
  <si>
    <t>Udaipur</t>
  </si>
  <si>
    <t>Pregnant Dog beaten to death by two women.</t>
  </si>
  <si>
    <t>Odisha</t>
  </si>
  <si>
    <t>Bhubaneswar</t>
  </si>
  <si>
    <t>Someone had tied wired around the belly of a femal dog which has resulted into deep cuts in the flesh.</t>
  </si>
  <si>
    <t>Mumbai United for Streets - WhatsApp Group</t>
  </si>
  <si>
    <t>Dog brutally beaten, suffering from fits and covulsions. Possible brain/nerve damage. Rescued.</t>
  </si>
  <si>
    <t xml:space="preserve"> Mumbai</t>
  </si>
  <si>
    <t>An auto-rickshaw runs his vehicle over a Street dog. The culprit is a habitual offender and has injured many dogs with his vehicle, as per the witness.</t>
  </si>
  <si>
    <t>Mumbai</t>
  </si>
  <si>
    <t>A pet dog (puppy) killed and dumped into a water body.</t>
  </si>
  <si>
    <t>Sainthia</t>
  </si>
  <si>
    <t>Cat brutally beaten, kicked in a video doing rounds on social media.</t>
  </si>
  <si>
    <t>Calf</t>
  </si>
  <si>
    <t>Farm Animals</t>
  </si>
  <si>
    <t>A female calf raped by a man inside a dairy farm.</t>
  </si>
  <si>
    <t>Hyderabad</t>
  </si>
  <si>
    <t>A female calf brutally raped by a man named Sumesh. The animal died as a result of strangulation.</t>
  </si>
  <si>
    <t>Kannur dist.</t>
  </si>
  <si>
    <t>A dog and cat beaten, voilently flung against each other for a social media video by a man named Santosh.</t>
  </si>
  <si>
    <t>A dog, named Jockey, poisoned by some unidentifies persons on Holi.</t>
  </si>
  <si>
    <t>A boy, studying in 12 standard, threw kerosene on a Street and and tried to burn him alive. Rescued and being treated.</t>
  </si>
  <si>
    <t>An elephant shot by a forest department staffer in Bandipur National Park.</t>
  </si>
  <si>
    <t>Bandipur</t>
  </si>
  <si>
    <t>A Street dog beaten to death as it tried to enter the gate of a house.</t>
  </si>
  <si>
    <t>A dog beaten up brutally in Malad West</t>
  </si>
  <si>
    <t>Street cat attacked with boiling hot water oil. Cat has serious burns all over her body. Rescued.</t>
  </si>
  <si>
    <t>Guwhati</t>
  </si>
  <si>
    <t>Stray cat attacked with boiling hot water oil. Cat has serious burns all over her body, succumbed to injuries</t>
  </si>
  <si>
    <t>Cat killed and hung outside the gate of Street cat feeder.</t>
  </si>
  <si>
    <t>Kottayam dist.</t>
  </si>
  <si>
    <t>A local community dog named 'Bhola' was brutally beaten with a stick by a security guard inside the SNDT college campus at Juhu.</t>
  </si>
  <si>
    <t>Two puppies were beaten. Were found with injuried limbs and faces.</t>
  </si>
  <si>
    <t>A dog was beaten by some unidentified persons. The hindlimbs are broken and the animal has lost its ability to walk.</t>
  </si>
  <si>
    <t>Street dog beaten by security gaurds of Ascendas IT Park, Tharamani. The animal has seizures, and has lost the ability or eat or drink.</t>
  </si>
  <si>
    <t>Chennai</t>
  </si>
  <si>
    <t>A Street puppy, who has taken refugee inside an empty auto-rickshaw, was beaten to death and thrown into a drain/gutter. FIR lodged, no action taken by the police. Culprits yet to be arrested.</t>
  </si>
  <si>
    <t>Rourkela</t>
  </si>
  <si>
    <t>A stray puppy, who has taken refugee inside an empty auto-rickshaw, was beaten to death and thrown into a drain/gutter. FIR lodged, no action taken by the police. Culprits yet to be arrested.</t>
  </si>
  <si>
    <t>A rod was inserted into the rectum of female dog by some indentified persons. The rectum was severely damaged, leading to uncontrolled bleeding. Rescued.</t>
  </si>
  <si>
    <t>A man killed a dog. No action taken. Policeman mocked the incident and declined the request to lodge an FIR against the culprit.</t>
  </si>
  <si>
    <t>Video shows a man, riding a motorcycle and chasing dogs, so as to deliberately run over them and make them run for their life in fear.</t>
  </si>
  <si>
    <t>Faridabad</t>
  </si>
  <si>
    <t xml:space="preserve">Video emerges of a man carrying a dog and throwing him across a wall. Possibly abandoned, since this was a rescue pup </t>
  </si>
  <si>
    <t>Pune</t>
  </si>
  <si>
    <t>Female dog, mother of 4 puppies, killed by a man.</t>
  </si>
  <si>
    <t>Gurugram</t>
  </si>
  <si>
    <t>A man tied the limbs of a dog and slashed his belly as the animal was chasing his domesticated goat.</t>
  </si>
  <si>
    <t>Illegal transport for slaughter</t>
  </si>
  <si>
    <t>Farm animals</t>
  </si>
  <si>
    <t>A bull and a calf rescued from cow smugglers near Basoda. The animals were cramped inside a swift dezire car and being transported illegally.</t>
  </si>
  <si>
    <t>Basoda</t>
  </si>
  <si>
    <t>Pigeon</t>
  </si>
  <si>
    <t>Wild Bird (Companion)</t>
  </si>
  <si>
    <t>Video shows man named Anaas Ali Jaan cutting off the head of a live pigeon. He also has several other birds in his possession.</t>
  </si>
  <si>
    <t>Delhi</t>
  </si>
  <si>
    <t>Some unindentified persons abducted a community puppy and threw it inside the gate of the house of a local resident. When found the mouth, nose and limbs were tightly tied with the help of black tape.</t>
  </si>
  <si>
    <t>Tempo driven over injured, deaf dog because he didn't move, and the driver got impatient</t>
  </si>
  <si>
    <t>Street dog hit on its head with a road, killed.</t>
  </si>
  <si>
    <t>Punjab</t>
  </si>
  <si>
    <t>Amritsar</t>
  </si>
  <si>
    <t>Dog killed by being bashed against a wall repeatedly</t>
  </si>
  <si>
    <t>Assault by Superstition</t>
  </si>
  <si>
    <r>
      <t xml:space="preserve">A </t>
    </r>
    <r>
      <rPr>
        <i/>
        <sz val="12"/>
        <color theme="1"/>
        <rFont val="Arial"/>
        <family val="2"/>
      </rPr>
      <t xml:space="preserve">tantrik </t>
    </r>
    <r>
      <rPr>
        <sz val="12"/>
        <color theme="1"/>
        <rFont val="Arial"/>
        <family val="2"/>
      </rPr>
      <t xml:space="preserve">couple tourtured and killed a puppy while performing black magic. The puppy was found with two knives stabbed into his body and blooded nose. </t>
    </r>
  </si>
  <si>
    <t>No Case</t>
  </si>
  <si>
    <t>A dog beaten to death in a residential colony by man named Agnidas. The man has also been accused of killing 4 puppies in the past.</t>
  </si>
  <si>
    <t>11 to 14 year old girl kicked a dog into a pond. On being asked she said the men of her house have done a lot more.</t>
  </si>
  <si>
    <t>A Street dog was attacked with a sharp object by some unidentified individual. The caused a deep wound around its forelimbs.</t>
  </si>
  <si>
    <t>A kid dragged a dog from the forelimbs and flung it into a waterbody. He was then rushed towards another dog.</t>
  </si>
  <si>
    <t>Konnagar</t>
  </si>
  <si>
    <t xml:space="preserve">Man named Sardar Mahendra Singh threw acid on a poor dog merely because he was barking on the Street, and very proudly claims that he will throw acid on all the dogs if they bark at him and even on the people who raise their voice against him. Despite all the complaints and FIR against him, he is on the loose.
</t>
  </si>
  <si>
    <t>A community dog was hit by a man on the pretext that the dog was trying to bite him.</t>
  </si>
  <si>
    <t>A community dog was beaten up the guard of an apartment complex. The dog has suffered some serious head injuries and is critical. FIR has been lodged against the gaurd under section 11 of PCA act.</t>
  </si>
  <si>
    <t>Person accused of slaughtering puppies. He has relocated puppies who were one month old and has killed 3 puppies. Complaint lodged but no action taken.</t>
  </si>
  <si>
    <t>A women threw two puppies under the wheels of a truck. She was also seen tourtured the puupies by tying them with a rope and dragging them around. The legs of one of the puppies were completely crushed in the incident.</t>
  </si>
  <si>
    <t>Siliguri</t>
  </si>
  <si>
    <t>A puppy was beaten up by some unidentified persons. The animal suffered injuries and was unable to walk from one of his limbs. Rescued</t>
  </si>
  <si>
    <t>A person has relocated puppies of one month and killed 3 puppies.</t>
  </si>
  <si>
    <t>Pitampura</t>
  </si>
  <si>
    <t>Street dog named Gogo treated cruelly by the people around him, who throw stones at him while he is sleeping. One person even ran his scooter behind him and chased him.</t>
  </si>
  <si>
    <t>Dog hit with sticks and stones. Had injuries and showed behavioural changes.</t>
  </si>
  <si>
    <t>A 6 months old female White Bengal Terrier found with deep cuts in the area around abdomen, in Barasat. The injuries were caused by an attack with a sharp object. FIR going to be lodged.</t>
  </si>
  <si>
    <t>FIAPO</t>
  </si>
  <si>
    <t>Masked man has killed 6-7 pet dogs at night, in a week. The dogs are found almost cut in half as well as having their eyes gorged out. Owners scared of pursuing a case. Police investigation launched</t>
  </si>
  <si>
    <t>Aroor</t>
  </si>
  <si>
    <t xml:space="preserve">2 volunteers at PFA accused of drugging and giving medicines to dogs, making them more aggresive and leading to increase in the number of dog bite cases. FIR lodged under the PCA. However, three days ago, Mishra had lodged a police complaint against some residents alleging that a dog was poisoned last week and dumped outside the complex.
</t>
  </si>
  <si>
    <t>Ghaziabad</t>
  </si>
  <si>
    <t>Dog brutally beaten by a guard with a stick</t>
  </si>
  <si>
    <t xml:space="preserve">Delhi
</t>
  </si>
  <si>
    <t>A 4 to 5 years male Tuxedo Hound found with deep cuts around neck. The animals has suffered nerve damage and was allegedly attacked by the son of the man who brought the animal to the hospital. Dog rescued. FIR lodged.</t>
  </si>
  <si>
    <t>Mollapara</t>
  </si>
  <si>
    <t>5 dogs, including young puppies, killed allegedly due to being fed poison in Bagdogra.</t>
  </si>
  <si>
    <t>A Street dog was beaten up by some unidentified persons dumped near Narangi Railway Station. The animal is unable to walk and is in a critical condition.</t>
  </si>
  <si>
    <t>A stray cat was kicked and poked with wooden sticks my the workers of a Pan shop in Fatasil Ambari. Rescued.</t>
  </si>
  <si>
    <t>A stary cat wa surrounded by a mob and kicked and poked with wooden sticks. Rescued</t>
  </si>
  <si>
    <t>A man cut the front legs of a dog and uploaded the video on Tiktok.</t>
  </si>
  <si>
    <t>Hasinpur</t>
  </si>
  <si>
    <t>3 puppies found abandoned in a box that was closed shut with a weight, left near a jungle. One puppy was sick, rescued</t>
  </si>
  <si>
    <t>Person attacked calf with knife and beat its legs with a stick, left it to die in a very bad position, rescued.</t>
  </si>
  <si>
    <t>Man named Bahadur and his gang beat and killed 6 month old dog named Sunny. This was done to the dog in pitch dark, when he was sleeping after eating his food.</t>
  </si>
  <si>
    <t>Allahabad</t>
  </si>
  <si>
    <t>Abandonment</t>
  </si>
  <si>
    <t>Farm Animal</t>
  </si>
  <si>
    <t>A male calf was found abandoned. Denied of nutrition the calf was found with injuries and hypothermia.</t>
  </si>
  <si>
    <t xml:space="preserve">News
</t>
  </si>
  <si>
    <t>Street dog tied up with an electric wire, thrashed with iron rods for hours till he was nearly unconscious, thrown from a rooftop and then dragged on the road after being tied to an auto-rickshaw. The plan was to dump him near a canal by dragging him till there but before that, local residents heard the cries of the dog and came to rescue him. He was dragged for some 200 metres before being rescued. Dog was bleeding with a broken jaw, fractured limbs and other injuries. 3 people arrested.</t>
  </si>
  <si>
    <t>Ludhiana</t>
  </si>
  <si>
    <t>Unknown persons have cut several puppies' tails with a sharp weapon. Two puppies rescued. Police complaint to be lodged</t>
  </si>
  <si>
    <t>Community dog beaten with a stick, thrown in a drain, inside college campus. Found paralysed and in pain. FIR registered  u/s 429 IPC against accused watchman who hit the already-injured dog on orders of dislocating him. Dog died later that day</t>
  </si>
  <si>
    <t>Multiple Animals</t>
  </si>
  <si>
    <t>Birds, pangolin, civet, porcupine, squirrel, python, deer, turtle being killed on large scale for their meat. The region is also a major pangolian trafficking hub.</t>
  </si>
  <si>
    <t>Tamenglong</t>
  </si>
  <si>
    <t xml:space="preserve">Social Media
</t>
  </si>
  <si>
    <t>2 dogs- 1 rottweiler and 1 german shepherd- kept tied with chain all day by owners and beaten up badly on their backs with punches, kicks and sticks. Locked in a room.</t>
  </si>
  <si>
    <t>Badly mutilated and burnt dog found in a temple</t>
  </si>
  <si>
    <t xml:space="preserve">Madhya Pradesh </t>
  </si>
  <si>
    <t>Dog named Atlas forced to fight for life by a dog fight mafia. Kept tied to a pole with a 2 feet rope in a hopelessly dirty shanty day &amp; night to frustrate him, make him ferocious &amp; fight-ready. His ears were clipped with a pair of rusted scissors with no anaesthesia or painkillers. His teeth were filed and sharpened so that he could rip his opponents' flesh apart. He was underfed, never medicated, never even spoken to with love and respect. He was forced to fight till he bled or shed his opponent's bled. His puppies were also sold. He was forced to mate frequently. He got penile cancer for which he is undergoing chemotherapy now. Rescued.</t>
  </si>
  <si>
    <t>A dog was brutally beat up as the animal had destroyed the shoes and doormat of a persons house. The assault led to a permanent paralysis and the animal is critical.</t>
  </si>
  <si>
    <t>A dog was abused at the Kolkata Book Fair 2020 where tea stall owner kicked a passing dog in his private parts.</t>
  </si>
  <si>
    <t>Dog hit by somebody on one of his legs, rescued.</t>
  </si>
  <si>
    <t>Threats of Assault</t>
  </si>
  <si>
    <r>
      <t xml:space="preserve">The locals are trying to find the puppies in order to kill them as they "destroyed' the </t>
    </r>
    <r>
      <rPr>
        <i/>
        <sz val="12"/>
        <color theme="1"/>
        <rFont val="Arial"/>
        <family val="2"/>
      </rPr>
      <t xml:space="preserve">Pooja Pandal </t>
    </r>
    <r>
      <rPr>
        <sz val="12"/>
        <color theme="1"/>
        <rFont val="Arial"/>
        <family val="2"/>
      </rPr>
      <t>in Entally</t>
    </r>
    <r>
      <rPr>
        <i/>
        <sz val="12"/>
        <color theme="1"/>
        <rFont val="Arial"/>
        <family val="2"/>
      </rPr>
      <t xml:space="preserve">. </t>
    </r>
    <r>
      <rPr>
        <sz val="12"/>
        <color theme="1"/>
        <rFont val="Arial"/>
        <family val="2"/>
      </rPr>
      <t>Two 2 months old toppled a Saraswati idol and broke its head by mistake.</t>
    </r>
  </si>
  <si>
    <t>Nilgai</t>
  </si>
  <si>
    <t>Carcasses of 7 birds and suspected Nilgai meat seized from a vehicle by police. Two men arrested, booked u/WPA</t>
  </si>
  <si>
    <t>Bareilly</t>
  </si>
  <si>
    <t>Leopard murdered and exhibited brutally (shown in video)</t>
  </si>
  <si>
    <t>Jammu and Kashmir</t>
  </si>
  <si>
    <t>----</t>
  </si>
  <si>
    <t>Street Dog beaten to death by two police officers.</t>
  </si>
  <si>
    <t>18 months old female black Labrador dog Bella came to the Sanjay Gandhi animal shelter, with deep, painful wounds on her body. Rescued and treated.</t>
  </si>
  <si>
    <t>Female dog named Millie was found with two fractured front limbs. Rescued</t>
  </si>
  <si>
    <t xml:space="preserve">Dogs living in the area from even before the construction of apartment towers was complete were being treated harshly and thrown out. Several dogs were illegally picked and dumped elsewhere. Many have gone missing. Barely month old puppies have been poisoned or seperate from their mothers and dumped elsewhere. Cars have run over dogs. Bikes have chased dogs. Govt of India officers have been rampant in their abuse of dogs. They have bullied security guards into throwing out and hitting dogs. They have fed dogs poisoned food resulting in death. On January 20th, a dog I feed went missing. On the night of January 21st, the dog was back in its original spot. He was sick, weak, listless. He refused to eat any food. He wasn't moving properly. He went missing again. On January 22, at 5, I found his dead body in the middle of some bushes. The post mortem showed that the dog had been poisoned.
</t>
  </si>
  <si>
    <t>2 moneys living near Mallikarjun temple died, allegedly, due to poisoning. Others showing sleepy and peculiar behaviour. First aid given to surviving monkeys and two sent to a care centre.</t>
  </si>
  <si>
    <t>Bangalore</t>
  </si>
  <si>
    <t>Rhesus Macaque</t>
  </si>
  <si>
    <t>15 monkeys poisoned, 2 moneys living near Mallikarjun temple died, allegedly, due to poisoning. Others showing sleepy and peculiar behaviour. First aid given to surviving monkeys and two sent to a care centre.</t>
  </si>
  <si>
    <t>A puppy was beaten with a stick. The assault led to a punctured lung. Faces difficulty in breathing. Rescued and being treated.</t>
  </si>
  <si>
    <t>Chhattisgarh</t>
  </si>
  <si>
    <t>Durg</t>
  </si>
  <si>
    <t>12 puppies murdered by a retired IPS officer Ashtbhuja Tewari</t>
  </si>
  <si>
    <t>Mother and puppy in a bad state. Nearby restaurant staff/owner tried to tie puppy and throw him away, stopped</t>
  </si>
  <si>
    <t>Goa</t>
  </si>
  <si>
    <t xml:space="preserve">Colva </t>
  </si>
  <si>
    <t>Retired public servant named Ashtbhuja Tewari and his daughter tried to beat Street pups with sticks and unleashed their dog to attack them. He has poisoned Street pups in the past. They have also threatend to kill the dogs. They have already done this with several other pups. Police complaint lodged but nothing happened.</t>
  </si>
  <si>
    <t>Female dog with deep wounds on his back pelted with stones by people.</t>
  </si>
  <si>
    <t>Dog named Moti repeatedly beaten with rod till his bone broke into two pieces, rescued.</t>
  </si>
  <si>
    <t>Dead dog found with leg tied to a rope by unknown assailants</t>
  </si>
  <si>
    <t xml:space="preserve">8 year old Male leopard who had killed two people, injuring one and digging up graves to scavenge on the human remains was shot dead by authorised hunters. Two persons had been killed and partially eaten by a leopard while a third person was seriously injured in a leopard attack. The leopard also dug up graves and dug out a child’s corpse. After that, the leopard was declared a man-eater and killed.
</t>
  </si>
  <si>
    <t>Haridwar</t>
  </si>
  <si>
    <t>Some drug addicts attacked a dog named Sundari with knife, causing intestines and other internal organs to pop out, dog rescued but died later.</t>
  </si>
  <si>
    <t>A dog was attacked with acid by a 12 to 13 years old boy.</t>
  </si>
  <si>
    <t>A cab owner cum property dealer tried to take 2 pitbull dogs and throwing them in some forest. They came to him as legacy in 2 plots deal that he did. Rescued</t>
  </si>
  <si>
    <t xml:space="preserve">Tik-tok video shared by a user named Rohanmehta97 shows man beating a dog with a broom/stick and abusing him, the dog can be seen crying.
</t>
  </si>
  <si>
    <t>Dog hit with chopper, deep wound inflicted, crying in pain</t>
  </si>
  <si>
    <t>Dogs found sitting on vacant hospital beds forcibly removed by dragging them by the limb, choking them by a rope, despite protests from onlookers. Also threatened to complain to Maneka Gandhi and the administration. Complaint lodged against dogs sitting on vacant beds in hospital, following which the Municipal Corporation members launched a plan to catch the dogs, during whicht the dogs were mishandled and treated cruelly. They tied ropes in the necks of the dogs and grabbed the dogs with their legs and dragged them, strangling them.</t>
  </si>
  <si>
    <t>Alwar</t>
  </si>
  <si>
    <t>Piku, a puppy was attacked with hot boiling water causing severe burns all over his body.</t>
  </si>
  <si>
    <t>Female Pet dog named Ruby beaten by owners on daily basis</t>
  </si>
  <si>
    <t>Farm House raided, several endangered wild animals recovered in dead condition, tiger skin and skulls also recovered</t>
  </si>
  <si>
    <t>Acid attack on dog</t>
  </si>
  <si>
    <t>The executive officer of the Muzaffarnagar nagar palikaand a junio engineer of Bhokarhedi nagar panchayathave been booked for negligenceof duty after a cow diedat newly constructed shelteralegedly due to cold.</t>
  </si>
  <si>
    <t>Muzaffarnagar</t>
  </si>
  <si>
    <t>A dog strangulated to death by police staff during an effort to catch it.</t>
  </si>
  <si>
    <t>Tiger carcass found in wildlife sanctuary. Two bodies found just days before. Forest department suspects the tigers were poisoned to death in a revenge killing for preying on cattle of villagers. Four booked u/WPA</t>
  </si>
  <si>
    <t>Golavali</t>
  </si>
  <si>
    <t>Man throws brick at the abdomen of a sleeping dog (Jimmy), with the intention to kill him. Jimmy survived with timely medical intervention, recovering. Case registered u/s 11 PCA, 428 IPC. No arrests made despite identifying the accused</t>
  </si>
  <si>
    <t>Dog intentionally run over by car</t>
  </si>
  <si>
    <t>Cow found dead after being raped. FIR filed u/s 377</t>
  </si>
  <si>
    <t>Two German Shepherd pet dogs regularly beaten by their owner. They could be heard crying. Their legs were broken. Both dogs dumped by the owners.</t>
  </si>
  <si>
    <t>Sukhi, a female dog's legs tied up, repeatedly beaten with an iron rod by 3 drunkards, till its skull cracked. The poor dog has a broken skull, multiple fractures on her snout and her prognosis is poor. She succumbed to her injuries after 72 hours. FIR registered</t>
  </si>
  <si>
    <t>Miscreants attacked a dog with acid and smacked a mother dog and her pups with the intent to hurt.FIR lodged under Sections- 428, IPC 1860 and Sections- 11(1), 11(A) and 11(C), PCA Act, 1960.</t>
  </si>
  <si>
    <t>Two arrested for raping four cows on a dairy farm. The two men were drunk when they brutally attacked one cow, and then tied the legs of three more cows with ropes and raped them. The cows' sexual organs were swollen and they were unable to walk the next day</t>
  </si>
  <si>
    <t>Andhra Pradesh</t>
  </si>
  <si>
    <t>Vizianagaram</t>
  </si>
  <si>
    <t>To make sure that the animal do not sprawl on the floor and die inside cramped lorries, traffickers use chilli paste to make them wince. Sometimes pieces of hot chilies are inserted under their eyelids.</t>
  </si>
  <si>
    <t>Street dog trapped and injured, its front foot caught in the vicious jaws of a gin trap, suffered tissue injuries. Rescued</t>
  </si>
  <si>
    <t>Jaipur</t>
  </si>
  <si>
    <t>ARO</t>
  </si>
  <si>
    <t>CUPA cases</t>
  </si>
  <si>
    <t>Puppy tied up for urinating and defecating in bed, beaten. Owners counselled by AWO multiple times but uninterested. Police involved for confiscation. Puppy moved to CUPA adoption center</t>
  </si>
  <si>
    <t>Male man-eater leopard, who had killed a woman, gunned down by a private shooter. Third leopard to be shot dead within a month in the state.</t>
  </si>
  <si>
    <t>Cow in poor state of health abandoned on roads. Treated by animals rescuers. Taken back by owners at the time of lactation. Kept away from male calf.</t>
  </si>
  <si>
    <t>Locals attack puppies with stones and sticks if they enter their compound</t>
  </si>
  <si>
    <t>Mapusa</t>
  </si>
  <si>
    <t>Parakeet</t>
  </si>
  <si>
    <t>Rose Ringed Parakeet</t>
  </si>
  <si>
    <t>Wild Birds</t>
  </si>
  <si>
    <t>14 rose-ringed parakeet chicks were rescued from smugglers</t>
  </si>
  <si>
    <t>A Street dog was attacked by some unidentified persons who broke her legs. The dog is not able to stand and walk as a result of the injury. Rescued and treated.</t>
  </si>
  <si>
    <t>Puppies seen with injuries on head and backs, looks like someone hit them. Treated, and locals were alerted to look out for future cruelty</t>
  </si>
  <si>
    <t>Candolim</t>
  </si>
  <si>
    <t>Pet labrador abused, tied to a tree and abandoned. Rescued and adopted</t>
  </si>
  <si>
    <t>Vasco</t>
  </si>
  <si>
    <t>Bonnet Macaque</t>
  </si>
  <si>
    <t>PFA Wildlife Hospital cases</t>
  </si>
  <si>
    <t>Juvenile Bonnet Macaque with captive beaviour noted</t>
  </si>
  <si>
    <t>A cat was brutally shot by some unidentified person. The cat sustained injuries near her ear and is receiving medical care in a hospital; recovering.</t>
  </si>
  <si>
    <t>Wild Bird</t>
  </si>
  <si>
    <t>2 Adult Rose-ringed Parakeets kept as pets.</t>
  </si>
  <si>
    <t>Street dog living in a society kicked out by the residents. He was beaten up a lot to be kicked out. He also has a bruise on his neck and he was extremely scared of people and now he’s traumatised hence his fear has increased.</t>
  </si>
  <si>
    <t>Kite</t>
  </si>
  <si>
    <t>Subadult kite with ankylosed elbow kept as a pet</t>
  </si>
  <si>
    <t>Adult parakeet kept as a pet</t>
  </si>
  <si>
    <t>Someone put a plastic band around the neck of a small puppy and forgot to remove it. As the pup grew, the band got tighter and cut into the neck skin and muscles leaving him in excruciating pain with each passing day. Whole neck got infected and filled with pus. The pup was about to meet a cruel, slow and painful death like situation. Rescued.</t>
  </si>
  <si>
    <t>Surat</t>
  </si>
  <si>
    <t>Man caught raping a cow. Booked u/s 377, judicial custody</t>
  </si>
  <si>
    <t>Private security guards of apartment complex beat up Street dog with batons, tried to bury it alive, dog sustained fracturtes on legs and head but rescued alive from the pit</t>
  </si>
  <si>
    <t>Young boys (6-17 y.o.) beat puppies with sticks and stones. One puppy found with skull fractures, others beaten to near death the next day by the same group</t>
  </si>
  <si>
    <t>People of a neighbourhood in Madhavaram hit dogs with sticks and stones and aggressively discourage people from feeding Streets.</t>
  </si>
  <si>
    <t>Illegal Transportation for Slaughter and Cruelty</t>
  </si>
  <si>
    <t>Working Animals</t>
  </si>
  <si>
    <t>Bovine smuggling in canter bid foiled, 13 bovines rescued, smuggler fled from the spot, case under PCA registered</t>
  </si>
  <si>
    <t>Samba</t>
  </si>
  <si>
    <t>Bovine smuggling bid in 2 trucks foiled, 26 bovines rescued, four smugglers arrested</t>
  </si>
  <si>
    <t>Nagrota</t>
  </si>
  <si>
    <t>Locals view puppies as nuisance, plan to burn them alive</t>
  </si>
  <si>
    <t>Saligao</t>
  </si>
  <si>
    <t>3-year old pet dog Twinkle kidnapped and tortured to death by owner's neighbours for fun, by inserting a pointed object in its eyes and genitals, 13 persons booked under Section 429 IPC</t>
  </si>
  <si>
    <t>Agra</t>
  </si>
  <si>
    <t>Delivery boy annoyed at dogs barking, hits one of them. When they ran away, he followed a dog who was hiding and bludgeoned her to death with a log, despite others trying to stop him. Booked</t>
  </si>
  <si>
    <t>Small puppy separated from mother and thrown over the wall of a shelter. Found dehydrated, malnourished, with multiple wounds</t>
  </si>
  <si>
    <t>A group of men caputured a pet dog and were trying to sell it for Rs. 350. Rescued.</t>
  </si>
  <si>
    <t>Meghalaya</t>
  </si>
  <si>
    <t>Shillong</t>
  </si>
  <si>
    <t>Sub-adult macaque kept captive in proximity to humans</t>
  </si>
  <si>
    <t xml:space="preserve">Street dog named Blacky beaten by a student with a stick, due to which dog's leg is hurt badly.
</t>
  </si>
  <si>
    <t>Mathura</t>
  </si>
  <si>
    <t>A Street cat, allegedly, hit by people on a daily basis and has fresh wounds all over her body. Was chased with sticks on trying to enter an office complex and on another instance was asked to be thrown out of the builiding. Rescued and treated.</t>
  </si>
  <si>
    <t>A stray cat, allegedly, hit by people on a daily basis and has fresh wounds all over her body. Was chased with sticks on trying to enter an office complex and on another instance was asked to be thrown out of the builiding. Rescued and treated.</t>
  </si>
  <si>
    <t>Man beats dog to death with a pole, despite people trying to stop him. Dog was sleeping when attacked, and the perpetrator has a history of similar offenses. FIR registered u/s 429 IPC, s 11(1)(a) PCA</t>
  </si>
  <si>
    <t>Virar</t>
  </si>
  <si>
    <t xml:space="preserve">Old, disabled dog living inside society for years, beaten by watchman. Succumbed to injuries. Witnesses filed complaint, registered u/PCA. </t>
  </si>
  <si>
    <t>6 dogs electrocuted. Caretaker alleged that the dogs were being kept in a temporary tin shed and someone threw a live wire to kill the dogs, so the land could be used. Accused claim that the dogs died due to negligence and error in earthing. Case booked u/PCA</t>
  </si>
  <si>
    <t>Pet dog had a metal chain stuck in his mouth, with which he was kept tied up by the owner. Rescued and chain removed from his mouth.</t>
  </si>
  <si>
    <t>PFA support emails</t>
  </si>
  <si>
    <t>Cab driver kills Street dog by hitting his head with a stone and throwing him from the 3rd floor</t>
  </si>
  <si>
    <t>Pregnant cat was found dead. The body of the cat was found hanging from a ropetied to an iron pillaradjacent to a compound wallseparating two esidences at Palkulangara.</t>
  </si>
  <si>
    <t>Vanchiyoor</t>
  </si>
  <si>
    <t xml:space="preserve">Dog shot thrice with air gun by retd. professor and IAF lieutenant. Accused was angry with the Street dogs and shot the dog who was found neaer his house. Dog recovering after medical attention. Accused arrested, granted bail, case book u/s 11, 12 PCA  </t>
  </si>
  <si>
    <t>Superstition led Assault</t>
  </si>
  <si>
    <t>Adult parakeet with no primaries, secondaries or rectrices. Kept confinement</t>
  </si>
  <si>
    <t>A dog beaten up by a mob; severly injured.</t>
  </si>
  <si>
    <t>Two pet dogs thrown from highrise in Gurgaon</t>
  </si>
  <si>
    <t>Chicken</t>
  </si>
  <si>
    <t>Hen</t>
  </si>
  <si>
    <t>Two men carrying hens upside down on a two wheeler, one of the hens fell down and was run over by another vehicle, persons got arrested</t>
  </si>
  <si>
    <t>Street Dog Tied to Car and Dragged to Death, dog died of trauma and septicemia which he suffered due to dragging from meters behind the car</t>
  </si>
  <si>
    <t xml:space="preserve">Security guard paid to hit Street dogs, chase them away from a park to make space for couples to sit. Fired from job </t>
  </si>
  <si>
    <t>A cow was attacked with acid. Rescued and preliminary care provided.</t>
  </si>
  <si>
    <t>6 months old Street dog named Ace dragged around by kids with his leg, the kids were hitting him with bricks and sticks. Rescued.</t>
  </si>
  <si>
    <t>3 sacks tied shut left outside shelter in the hot sun. Found to be filled with puppies who were suffocating inside. Person who left them there was caught. When questioned, he said that it was better to leave them outside the shelter than on the Streets</t>
  </si>
  <si>
    <t>3 booked for killing and thrashing dog, case registered under Section 429 IPC</t>
  </si>
  <si>
    <t>Ropar</t>
  </si>
  <si>
    <t>Social media</t>
  </si>
  <si>
    <t>Labrador thrown out of car because of a skin issue. Rescued</t>
  </si>
  <si>
    <t>Dog delivering puppies beside a Street, after two of her puppies were delivered an unidentified woman put kerosine oil on the dog and her newborn puppies and set them on fire for eating her hen. Two puppies died and the dog was critically burnt, she succumbed to her injuries the next day, along with the 3 unborn puppies in he womb. Complaint filed</t>
  </si>
  <si>
    <t>Burdwan</t>
  </si>
  <si>
    <t>Cat and kitten run over by car. Suspect booked</t>
  </si>
  <si>
    <t>Hundreds of animals were seized at the border of Nepal and India. The animals were being transported to be slaughtered during the Gadhimai festival in Nepal. As per reports around 2000 animals had already made their across the border.</t>
  </si>
  <si>
    <t>Nepal - India border</t>
  </si>
  <si>
    <t>Grey Langur</t>
  </si>
  <si>
    <t>Two langurs with firecracker injuries rescued by forest department officials on a Diwali night.</t>
  </si>
  <si>
    <t>Street Dog Trapped In Net, Beaten Up For Entering An Upscale Residential Society In Noida, FIR registered against Abhishek Tiwari, who claims to be a local BJP functionary and four others under IPC Section 506 (criminal intimidation) and Section 11 of the PCA</t>
  </si>
  <si>
    <t>Noida</t>
  </si>
  <si>
    <t>Fishing Cat</t>
  </si>
  <si>
    <t>A fishing cat was attacked by some vilagers and beaten to death. Hundrerds of villlagers queued up to get selfied clicked with the body of the killed animal.</t>
  </si>
  <si>
    <t>North Pirpur</t>
  </si>
  <si>
    <t>A man tied firecrackers to the tail of a dog and set it on fire.</t>
  </si>
  <si>
    <t>Cracker tied to dog's tail and lit. Dog ran away howling. FIR filed against 3 after media pressure, detained but bailed. Dog unhurt</t>
  </si>
  <si>
    <t xml:space="preserve">Wild animals </t>
  </si>
  <si>
    <t>Monkey attacked with acid by identified persons. Face severly burnt.</t>
  </si>
  <si>
    <t>49 arrested for illegal slaughtering of animals, 117 animals, including bovine and huge quantity of meat recovered, complaint lodged under PCA</t>
  </si>
  <si>
    <t>Buffalo</t>
  </si>
  <si>
    <t>46 people, including three meat traders of the city, arrested for slaughtering buffaloes illegally, case registered, 117 buffaloes recovered from the arrested persons and five large vehicles, including a refrigerator van, used for transporting the meat to other cities confiscated.</t>
  </si>
  <si>
    <t>Moradabad</t>
  </si>
  <si>
    <t>Sheep</t>
  </si>
  <si>
    <t>Miscellaneous</t>
  </si>
  <si>
    <t>20 sheep crammed into one auto</t>
  </si>
  <si>
    <t>Owl</t>
  </si>
  <si>
    <t>Police intercepted two men on a motorbike who were smuggling five rare owls cramped in plastic bucket, worth around Rs 1 crore. The owls were being delivered to an occultist for sacrifice during Diwali, in a rite to ward off bad luck and bring prosperity.</t>
  </si>
  <si>
    <t>New born puppies were separated from their mother and dumped them wrapped in garbage bags. All the dumped puppies eventually died. This was done as the residents were concerned about the hygiene of the locality.</t>
  </si>
  <si>
    <t>Drunk man chokes sister's pet dog to death by pressing down on the neck with his foot, while his wife encouraged him. Threatened to kill sister when she tried to intervene. Killed her pets in the past as well, by strangulation or throwing under a train. Case registered u/2 428. 429 IPC, PCA</t>
  </si>
  <si>
    <t>2 puppies rescued after being beaten. One sustained a leg injury</t>
  </si>
  <si>
    <t xml:space="preserve">Colvale </t>
  </si>
  <si>
    <t>2 men barge into someone's house, destroy their property and slash the dog with sharp objects, in retaliation for barking at them. Injuries required 15 stitches, case registered. The same men used to throw stones at the dog every day as well</t>
  </si>
  <si>
    <t>Thiruvala</t>
  </si>
  <si>
    <t>Puppy thrown in small space between two walls, lay in the dark for hours. Rescued and adopted</t>
  </si>
  <si>
    <t>Coimbatore</t>
  </si>
  <si>
    <t>Dog named Titu beaten with sticks by security guards.</t>
  </si>
  <si>
    <t>3 men, for the purpose of making a tik-tok video, grabbed a dog and threw it down from a hill, complaint filed.</t>
  </si>
  <si>
    <t>Mandi</t>
  </si>
  <si>
    <t>Kitten beaten for following people into bank, kicked out</t>
  </si>
  <si>
    <t>4 villagers torture a leopard cub, pin the cub in the fork of a tree, and poke it with sticks, tormentors burst into hysterical laughter as the cub struggled to break free</t>
  </si>
  <si>
    <t>Rajkot</t>
  </si>
  <si>
    <t>Man caught raping neighbour's calf. Arrested u/s 377</t>
  </si>
  <si>
    <t>Nizamabad</t>
  </si>
  <si>
    <t>Dog murdered by a crowd</t>
  </si>
  <si>
    <t>Great Dane raised to be a show dog, with cropped ears. Abandoned because of hip dysplasia. Found bleeding and limping on the Street. Rescued and treated</t>
  </si>
  <si>
    <t>Pet dog left with a dog boarding facility for a few days, was badly abused. Dog found with both the eyes popped out and his tissues and eye brows damaged and muscles torn. Rushed to emergency surgery, but completely lost his vision now</t>
  </si>
  <si>
    <t>Community dog beaten brutally with iron rod for entering pool</t>
  </si>
  <si>
    <t>Social Media/ Vet Report</t>
  </si>
  <si>
    <t>Boiling water thrown at a Street dog named Bernadette.</t>
  </si>
  <si>
    <t>Man-eater leopard, who had killed a woman and injured several others, shot dead by forest officials. This is the second leopard to be killed in a week. Earlier, a ‘maneater’ leopard that had maimed two children to death was killed by hunter Azhar Khan. 34 maneater leopards have been eliminated by Azhar previously. Earlier, a ‘maneater’ leopard that had killed a woman was also killed. In September 2018, a ‘maneater’ leopard that killed a four-year-old girl, was shot dead. Another leopard who had claimed nine lives in Almora in September last year was also killed.</t>
  </si>
  <si>
    <t>Pithoragarh</t>
  </si>
  <si>
    <t>Drunk woman attacks old community dog with axe. Dog seriously injured, taken to hospital. Woman has killed dogs in the past as well. Case registered u/s 428 IPC, s 11,12 PCA</t>
  </si>
  <si>
    <t xml:space="preserve">Complaints received about a man who gets drunk and then gets aggressive with dogs in the area
Dog named Hachi hit hard on her face, resulting in broken jaw and chronic wound under eye, eye infection cured but swelling in jaw (most probably cancerous growth) </t>
  </si>
  <si>
    <t>Panchkula</t>
  </si>
  <si>
    <t>Dog attacked with knife by unknown assailant, being treated</t>
  </si>
  <si>
    <t>Sinquerim</t>
  </si>
  <si>
    <t>Community dogs mistreated by residents, routinely beaten for no reason. Entitled response when confronted</t>
  </si>
  <si>
    <t>A dog, suffering from mange, was dragged and killed. The culprit was under police custody for sometime, but FIR was lodged.</t>
  </si>
  <si>
    <t>Vijyawada</t>
  </si>
  <si>
    <t>4 Street dogs, a pet labrador dog had gone missing, they were found 2 days later with burn injuries, someone had thrown acid on them</t>
  </si>
  <si>
    <t>Ahmedabad</t>
  </si>
  <si>
    <t>3 elephants ordered to be shifted from Marakannam to a govt facility in Trichy, moved with force. Forest officials used bullhooks, bamboo sticks, and even a JCB to push the elephants into the truck</t>
  </si>
  <si>
    <t>Marakkanam</t>
  </si>
  <si>
    <t>8-10 puppies thrown in deep ditch, rescued</t>
  </si>
  <si>
    <t>Margao</t>
  </si>
  <si>
    <t>Bat</t>
  </si>
  <si>
    <t>Wild animals</t>
  </si>
  <si>
    <t>Bats being caught, hit with catapults to capture them for meat</t>
  </si>
  <si>
    <t xml:space="preserve">8 to 10 dogs regulary hit with stciks and bricks by the residents of the locality. </t>
  </si>
  <si>
    <t>Rohini, Delhi</t>
  </si>
  <si>
    <t>A boy is throwing stones ata dog and beating it regularly</t>
  </si>
  <si>
    <t>7 dogs were poisoned by some unidentified persons. 6 out of the 7 dogs died. Among the 6 dead animals, 2 were pregnant females.</t>
  </si>
  <si>
    <t xml:space="preserve">30-year-old man Mohd. Harun hacked both paws of a Street dog with cane knife for excessive barking and entering his premises, formal complaint lodged by police 
</t>
  </si>
  <si>
    <t>Shahjahanpur</t>
  </si>
  <si>
    <t>Two dogs were killed, on two separate occassions, in Shantiban Path by some unidentified persons. An FIR has been registered against the unidentified culprits.</t>
  </si>
  <si>
    <t>Overloaded vehicle carrying animals without fitness certificate reported to Police. Violated PCA Act, Transport of Animal Rules 1978. Complaint filed.</t>
  </si>
  <si>
    <t>ABC led Cruelty</t>
  </si>
  <si>
    <t>Dr Yadav purposely keeps delaying the sterilization process, thereby witholding adoption. Refuses to give a fitness certificate to the dogs who are fit to be released or adopted, Most of them die of depression due to being crammed in a tiny cage with little access to food or water. Lack of funds, unqualified doctors, who mis-diagnose the cases, leading to multiple deaths.</t>
  </si>
  <si>
    <t>Chandigarh</t>
  </si>
  <si>
    <t>6 overloaded vehicles carrying animals in most inhumane conditions impounded by the police in 2 days. Many animals were dead because of suffocation. Violation of PCA Act and Transport of Animals Rules, FIR filed.</t>
  </si>
  <si>
    <t>Wild birds</t>
  </si>
  <si>
    <t>Adult parakeet with primaries and secondaries clipped</t>
  </si>
  <si>
    <t>A bull was attacked with acid. Rescued and treated.</t>
  </si>
  <si>
    <t>Truck found overloaded with 15 plus buffaloes stacked on top of each other. Violation of PCA Act and Transport of Animals Rules.</t>
  </si>
  <si>
    <t>Goat</t>
  </si>
  <si>
    <t>More than 250 goats, which were being transported for slaughter, illegally rescued.</t>
  </si>
  <si>
    <t>Adult Rose-ringed with primaries and secondaries clipped</t>
  </si>
  <si>
    <t>Laaj Jain</t>
  </si>
  <si>
    <t>Several dogs poisoned and killed by residents of a Colony in the last 7 years</t>
  </si>
  <si>
    <t>A puppy named Baby Nayak was attacked with acid by some unidentified persons. Rescued.</t>
  </si>
  <si>
    <t>University  non teaching faculty routinely hits campus dogs with wooden planks and sometimes throws metal wires at them</t>
  </si>
  <si>
    <t>Three dogs, belonging to a villager, playing in a field, shot dead by 2 people named Hasan and Saif. FIR registered.</t>
  </si>
  <si>
    <t>Cat seeks shelter in the rain, has hot water thrown on her to chase her away. Rescued and treated</t>
  </si>
  <si>
    <t>A woman's pet cat was killed by some unidentified person.</t>
  </si>
  <si>
    <t>Baramati, Pune</t>
  </si>
  <si>
    <t>Pangolin</t>
  </si>
  <si>
    <t>Two live pangolians were rescued from a house in Bhowanipore by the Wildlife Crime Control Bureau and the West Bengal Forest Department officials. 6 persons have been arrested.</t>
  </si>
  <si>
    <t>Adult parakeet kept as a pet. All primaries and secondaries clipped</t>
  </si>
  <si>
    <t>Pig</t>
  </si>
  <si>
    <t>PFA Hyderabad cases</t>
  </si>
  <si>
    <t>School watchman catches and beats pig. Ties him to his bike and drags for nearly one km. FIR u/s 11 (1) PCA, s 429 IPC</t>
  </si>
  <si>
    <t>Secunderabad</t>
  </si>
  <si>
    <t>Female Pet dog lured away, stolen and raped by three men. All three arrested under s 377, s 11 PCA. Dog sustained internal injuries, in critical condition</t>
  </si>
  <si>
    <t>Hatras</t>
  </si>
  <si>
    <t>Dog tied and beaten up. Eyes taken out with the help of a knife. Rescued and treated.</t>
  </si>
  <si>
    <t>Apartment owners instruct guards to shoo and beat community dog, who relies on food given by residents</t>
  </si>
  <si>
    <t>Porovorim</t>
  </si>
  <si>
    <t>A Street dog attacked with acid, severly injured. FIR lodged against the culprits.</t>
  </si>
  <si>
    <t>A sleeping Street dog was attacked with acid. The animal sccumb to its injuries.</t>
  </si>
  <si>
    <t>8 months old female dog frequently beaten with sticks by people for taking refugee inside a residential complex.</t>
  </si>
  <si>
    <t>Kalyan</t>
  </si>
  <si>
    <t xml:space="preserve">Video catches earthmover being used to bury alive an injured Nilgai antelope. FIR filed against driver, forest guard suspended. </t>
  </si>
  <si>
    <t>Vaishali</t>
  </si>
  <si>
    <t>Street dog dies after acid attack, no police complaint</t>
  </si>
  <si>
    <t>Man and his mother throw crackers on their neighbour's dog. Have a history of harming dogs as well.</t>
  </si>
  <si>
    <t>Dog beaten unconscious with an iron rod for eating the neighbor's chickens.
Sustained broken jaw, head injury and a badly wounded eye. Second dog found with same injuries, critical state. FIR registered</t>
  </si>
  <si>
    <t>Pet dog chained and beaten. Rescued and taken to shelter, dies of suspected drug overdose in unnamed kennel at Ghatkesar</t>
  </si>
  <si>
    <t>A bull was attacked by boiling hot water by some miscreants. He was badly injured and also had a fractured leg. A seven inches deep wound was also found on the body.</t>
  </si>
  <si>
    <t>100s of buffaloes, sheep, goats, hens and birds sacrificed at Sulia Yatra</t>
  </si>
  <si>
    <t>Khariguda</t>
  </si>
  <si>
    <t>Video shows a dog being given electric shock whenever he tries to eat from his food bowl.</t>
  </si>
  <si>
    <t>Bikaner</t>
  </si>
  <si>
    <t>A man brutally beat up a dog, near Nepali Chowk. The assault led to a an injury in the animal's spinal cord. The dog was rescued, but can not walk and is impaired for life.</t>
  </si>
  <si>
    <t>Assault by Neglect</t>
  </si>
  <si>
    <t>Ten cows died from asphyxiation in a cow shelter run by village panchayat. The cows were locked inside a small room during heavy rains. The sarpanch and secretary of the panchayat have been served notices, seeking their replies.</t>
  </si>
  <si>
    <t>Barbaspur</t>
  </si>
  <si>
    <t>A dog was tied to a vehicle and dragged till it was dead. The body of the animal was found with forelimbs together, with a cloth, and eye-balls popping out.</t>
  </si>
  <si>
    <t>Young adult Bonnet Macaque lept chained and in a small confined place for 8 years. Weakness in hind limbs. Unable to bear complete weight on them</t>
  </si>
  <si>
    <t>A man hit a dog with a wooden rod, casuing serious injuries. The animal started limping after the first few blows. The man went on to hit the dog repeatedly and eventually broke the rod on the animals body.</t>
  </si>
  <si>
    <t>More than 240 goats rescued, that were stuffed horribly and inhumanely on top of each other in small bolero pick ups. There were no state permites, veterinary certificates or other required documents.</t>
  </si>
  <si>
    <t>Dog raped, tied to vehicle and dragged to death. Case registered against unknown person</t>
  </si>
  <si>
    <t>Waiter caught on video orally raping a female Street dog. Video confession also obtained. FIR registered u/s 377. Arrested, remanded to judicial custody, chargesheet filed, evidence sent to forensic lab, accused remains in jail</t>
  </si>
  <si>
    <t>Dog stabbed with an icepick, moving around with the weapon precariously hanging with the iron part inside the body. Sharp tip of the iron part was 6 inches inside the abdominal cavity from touching diaphragm or lungs. Rescued.</t>
  </si>
  <si>
    <t>An indie dog was murdered by three unidentified persons. The culprits hit the dog, with a rod, repeatedly until he died. The body of the dead animals was then tied to a two-wheeler and dragged around.</t>
  </si>
  <si>
    <t>Falcon</t>
  </si>
  <si>
    <t>Primaries and secondaries of both wings clipped of a Falcon</t>
  </si>
  <si>
    <t>A female calf, with a broken and injected joint, was found dumped in a dustbin. Policemen patrolling the area tried to dissuade rescuers from helping the calf.</t>
  </si>
  <si>
    <t>Bhubneswar</t>
  </si>
  <si>
    <t>Man poisons 3 leopards in revenge for killing his dog, sprinkled insecticides on the carcass of the deceased dog, threw away the dog's body inside the forest, the three leopards consumed the meat of the dog and died due to poisoning. Sukhpal was produced before a magistrate on Wednesday and arrested under section 51 of Wildlife Protection Act, 1972.</t>
  </si>
  <si>
    <t>27 days old puppy named Kartoos injured around the shoulder and tossed around by some kids, rescued.</t>
  </si>
  <si>
    <t>Adult Female Bonnet Macaque kept in captivity - 2 years. Exhibiting stereotypical captive behaviour - Rocking and jumping in one place</t>
  </si>
  <si>
    <t>Video showing man beating/hitting Street dogs cruelly and brutally. Complaint filed.</t>
  </si>
  <si>
    <t>Leopard cubs assaulted by villagers, one dies</t>
  </si>
  <si>
    <t>Gondia</t>
  </si>
  <si>
    <t>College teacher seen beating a dog with a broom for entering the staff room looking for the teacher who regularly feeds dogs</t>
  </si>
  <si>
    <t>Ponda</t>
  </si>
  <si>
    <t>Villagers beat tigress to death, post-mortem shows broken ribs, punctured lungs, fractures and injuries from sharp-edged weapons like spears on almost every part of body, forest officials came after three hours. By that time, the tigress dragged herself back to the jungle, where she succumbed to injuries. Accused booked under PCA</t>
  </si>
  <si>
    <t>Pilibhit</t>
  </si>
  <si>
    <t>Dog beaten up by security guards for seeking shelter during rains, fatal wounds. 2 arrested, chargesheet filed</t>
  </si>
  <si>
    <t>Abandoned male calf, helplessly lying down on a road in sweltering heat, suffering from Ruminal Tympany (Bloat's Disease) and had severe breathing problems. His temperature had soared to around 105°F. He was not getting any food and had to eat plastic bags/trash found on roadside. Rescued</t>
  </si>
  <si>
    <t>Indie dog poisoned by 3 people, dog died</t>
  </si>
  <si>
    <t>Rose Ringed Parakeet fledgling kept captive. Feathers clipped</t>
  </si>
  <si>
    <t>Ramanagara</t>
  </si>
  <si>
    <t>Man caught raping calf limbs tied. Complaint registered</t>
  </si>
  <si>
    <t>Mangalore</t>
  </si>
  <si>
    <t>A dog, who took shelter near L&amp;T Emeral Isle, brutally beaten by the watchman of the gated community, in Powai. Hospitalised and in a critical condition.</t>
  </si>
  <si>
    <t>100+ cattle die in 4 months in government shelter, bodies dumped at landfill. Suspected negligence</t>
  </si>
  <si>
    <t>Government gaushalas being given daily budget of Rs 30/cow, inadequate to meet dietary needs of animals</t>
  </si>
  <si>
    <t>Nayak (dog) was rescued with ears chopped and severe acid burns.</t>
  </si>
  <si>
    <t>New Delhi</t>
  </si>
  <si>
    <t>Adult Rose Ringed Parakeet with no primaries and retrices. Follicles damaged</t>
  </si>
  <si>
    <t>Snake</t>
  </si>
  <si>
    <t>A four feet long cobra, on being discovered inside a house, was attacked by the villagers who put a sharp spear through it, damaging the lungs. Rescued and treated</t>
  </si>
  <si>
    <t>Puri</t>
  </si>
  <si>
    <t>Dogs beaten by a guard appointed by a residential society in Komthe. The guard has allegedly been appointed solely for this purpose. One puppy is missing and another's lef has been broken.</t>
  </si>
  <si>
    <t>Dog named Hero jumped off a building to escape getting caught by dog catchers, who wanted to catch him and take him with them. They had a stick with a noose at the end. They were catching dogs in a brutal way and the dogs were crying with pain. Due to the jump, the dog's paws were broken and hanging. The dogcatchers dragged him and put him in the van. He was bleeding and was in terrible pain. He was dumped at a sterilization centre. He lay there for weeks without treatment and soon infection had set in and his condition worsened. Rescued.</t>
  </si>
  <si>
    <t>Monitor Lizard</t>
  </si>
  <si>
    <t>RWA President got a dog picked, tied and dangled by his neck and then got him thrown in a jungle far away from the city. Dog never found back. Earlier, the same people had also killed a monitor lizard.</t>
  </si>
  <si>
    <t>Immobile dog found with injured back and legs, wounds consistent with being thrown out of a moving vehicle. Rescued and given medical care</t>
  </si>
  <si>
    <t>Adult Rose Ringed Parakeet with no primaries and retrices. No feathers on the body.</t>
  </si>
  <si>
    <t>Black Kite</t>
  </si>
  <si>
    <t>Subadult black kite. All feathers of both wings and tail clipped.</t>
  </si>
  <si>
    <t xml:space="preserve"> 2 rose ringed parakeet kept as pets</t>
  </si>
  <si>
    <t>Video surfaces of man raping a dog, and holding her up from the tail while continuing to rape her. Information being sought about location and identity. Complaint filed with police cyber crime department</t>
  </si>
  <si>
    <t>Pet dog starved, neglected and abandoned. Wandered into an apartment, was beaten by security guard acting under instructions. Rescued</t>
  </si>
  <si>
    <t>Udupi</t>
  </si>
  <si>
    <t>A dog trying to enter a house in Thane was beaten to death the house's owner. FIR lodged, man arrested.</t>
  </si>
  <si>
    <t>Rat Snake</t>
  </si>
  <si>
    <t>A man named Aftab Ansari held a rat snake by its tail, tossed it around before smacking it against the concrete floor. The reptile was killed on the pretext of saving the neighbourhood kids.</t>
  </si>
  <si>
    <t>Thane</t>
  </si>
  <si>
    <t>Dove</t>
  </si>
  <si>
    <t>Rabbit</t>
  </si>
  <si>
    <t xml:space="preserve">Neglect &amp; Abandoned Animals </t>
  </si>
  <si>
    <t xml:space="preserve">90+ animals abandoned in pet shop, left for weeks after pet shop owner ran away after not paying rent. The animals had not been fed for weeks; their surroundings were filthy and so many had died from neglect and starvation. 50+ dead, the rest were malnourished and sick. </t>
  </si>
  <si>
    <t>Two young men arrested for beating a puppy to death.</t>
  </si>
  <si>
    <t>Four accused in two separate cases of cruelty to animals, 34 buffaloes being illegally smuggled in 2 containers rescued, accused booked under the PCA</t>
  </si>
  <si>
    <t>Ambala</t>
  </si>
  <si>
    <t>Subadult Black Kite with both wings - primaries clipped</t>
  </si>
  <si>
    <t>Pig carried upside down on a rod, taken for slaughter in annual celebrations of onset of rains</t>
  </si>
  <si>
    <t>Betalbatim</t>
  </si>
  <si>
    <t>Alexandrine Parakeet</t>
  </si>
  <si>
    <t>Adult Alexandrine Parakeet with no feathers on the body. Flight and Tail feathers clipped</t>
  </si>
  <si>
    <t>Tail of a Street dog brutally cut by somebody, rescued.</t>
  </si>
  <si>
    <t>Bhajan, a mastiff was rescued with a broken jaw.</t>
  </si>
  <si>
    <t>Owner beating dog, AWO visited, explained PCA and counselled, instructed not to beat the dog again, owners agreed</t>
  </si>
  <si>
    <t>Labrador thrown out of speeding van, found wandering on busy road. Rescued</t>
  </si>
  <si>
    <t>Street cow attacked with acid. Not admitted to any hosiptal due to local civic body (Nagar Nigam) strike.</t>
  </si>
  <si>
    <t>Kanpur</t>
  </si>
  <si>
    <t>Senior dog chasing thief was set on fire by the thief, sustained bad burns. Rushed for medical aid, recovered</t>
  </si>
  <si>
    <t>Dog beaten for barking at visitors. Kept tied. Dog to be shifted to a new house</t>
  </si>
  <si>
    <t>Cat beaten up by person with sticks and thrown in the drain, because the cat tried to eat his rabbit and the cat belonged to another family. The person has also beaten up several cats in the past.</t>
  </si>
  <si>
    <t>String knotted tightly around two of a dog's (Jitu) legs, dangerous situation, blood supply had been reduced to a trickle. The swelling in his legs caused by constricted veins threatened to become necrotic (dead) tissue, rescued. Possibility of an unknowing child doing this to him.</t>
  </si>
  <si>
    <t>People tried to kill a pack of 36 dogs for meat. The animals were found in gunny bags with limbs tied, and piled over one another.</t>
  </si>
  <si>
    <t>Mizoram</t>
  </si>
  <si>
    <t>Aizawal</t>
  </si>
  <si>
    <t>House owner beating dog. AWO visited, dog is healthy and well maintained, not kept tied. Counselled about PCA</t>
  </si>
  <si>
    <t>Myna</t>
  </si>
  <si>
    <t>Common Myna</t>
  </si>
  <si>
    <t>Common Myna Nestling. Feathers broken, Keel bone prominent</t>
  </si>
  <si>
    <t>Both the forelimbs of a female dog were injured and broken by some unidentified persons.Rescued and treated.</t>
  </si>
  <si>
    <t>Boiling water thrown at Street dog.</t>
  </si>
  <si>
    <t xml:space="preserve">Independent Activist
</t>
  </si>
  <si>
    <t>Small dog badly beaten with stick by a person, people of the same colony in which the accused resides had beaten some dogs earlier</t>
  </si>
  <si>
    <t>Boy burns dog with kerosene, face badly damaged. Rescued and treated</t>
  </si>
  <si>
    <t>3 dogs missing, 1 found dead, FIR filed.</t>
  </si>
  <si>
    <t>Management of Apartments ordered guards to beat a dog which had been staying there for the last 5 years. Dog badly beaten with sticks, the dog is limping now.</t>
  </si>
  <si>
    <t>Adult Alexandrine Parakeet with primaries and rectrices clipped</t>
  </si>
  <si>
    <t>7-8 month old male dog's body found rotting, post-mortem showed one hind leg was broken and had skid/drag marks on one thigh.</t>
  </si>
  <si>
    <t>Greater Noida</t>
  </si>
  <si>
    <t>Black Kite Fledgling. All primaries and a few secondaries of both wings clipped. Keel bone - palpable</t>
  </si>
  <si>
    <t>Man named Rajkumar caught on camera while beating a Street dog with stick to death, arrested and FIR registered under Section 429 IPC and Section 11A PCA. This was not the first time that he committed the crime. Earlier he had killed two dogs.
35-year-old man Raj Kumar beat a Street dog to death for biting his wife- wife was walking her pet dog in the Street, Street dog attacked their pet dog, prompting the woman to defend the pet. The Street dog then went on to bite his wife too, woman returned home and complained to her husband, who then left the house with a stick and beat the dog to death, booked under PCA</t>
  </si>
  <si>
    <t>Dog badly injured, someone had hit the dog with some sharp object to kill it. Rescued, the wounds were so deep that it took around two hours to stitch them.</t>
  </si>
  <si>
    <t>DLF Builders, JLL security company and eight residents of a high-profile housing society in Delhi named in a complaint alleging cruelty to animals. The accused were kicking a Street dog and were beating it with a baton.</t>
  </si>
  <si>
    <t>CCTV showed man raping 7 cows at a shelter. Caught when he returned to repeat the offense. Case booked u/s 376(?), 511 IPC</t>
  </si>
  <si>
    <t>Ayodhya</t>
  </si>
  <si>
    <t>Dog found with deep gash along his side, possibly attacked by a human</t>
  </si>
  <si>
    <t>Siolim</t>
  </si>
  <si>
    <t>Man beats two kittens to death for entering his property, hangs their bodies for public display. FIR registered, man arrested</t>
  </si>
  <si>
    <t>Kottayam</t>
  </si>
  <si>
    <t>Several dogs living in a society beaten up with a stick by a guard. In the past also, the guard has beaten up and killed several dogs with sticks.</t>
  </si>
  <si>
    <t>A Street cat was attacked with acid by some unidentified persons. Rescued.</t>
  </si>
  <si>
    <t>Brown Bear</t>
  </si>
  <si>
    <t>Brown bear fell into a stream from a steep mountain ridge after stones were thrown at him. In the video, the bear climbed the steep mountain ridge after being chased by the people from a nearby village, but tumbled into a stream after losing balance as people threw stones at him. As the bear falls into the river, the people in the video can be heard cheering.</t>
  </si>
  <si>
    <t>Kargil</t>
  </si>
  <si>
    <t>A father-son duo poured kerosene on a Street dog and set him on fire. The dog, which is undergoing a treatment, is in a critical condition. An FIR has been lodged agaisnt the culprits.</t>
  </si>
  <si>
    <t>Durgapur</t>
  </si>
  <si>
    <t>2 people booked for poisoning 6 Street dogs to death, FIR lodged under Section 429 IPC</t>
  </si>
  <si>
    <t>Jamnagar</t>
  </si>
  <si>
    <t>Overloaded truck carrying buffaloes without food or water stopped, complaint filed.</t>
  </si>
  <si>
    <t>Dogs operated upon for sterilization released back into the Streets without proper post-operative treatment, dogs in extreme pain, due to re-opening of the operation wounds and exposition of their intestines and loss of blood, 2-3 dogs also dead.</t>
  </si>
  <si>
    <t>A man kicked a cat following an altercation with a senior citizen over the feeding of Street animals. The man was annoyed with the old person for taking care of Street animals and threated him with "dire consequences."</t>
  </si>
  <si>
    <t>9 cattle trucks raided, which were overloaded, buffaloes were being carried without food and water. No medical documents were shown, violation of PCA act, rescued.</t>
  </si>
  <si>
    <t>Some kids tied a balloon on puppy's tail and left it in drain. Insects bit and eat the puppy's tail, rescued</t>
  </si>
  <si>
    <t>Adult black Kite with all Primaries and rectrices broken</t>
  </si>
  <si>
    <t>Rose ringed parakeet with primaries and secondaries of both wings clipped</t>
  </si>
  <si>
    <t>Puppy found among rocks on the sea shore, hiding from people who threw stones at her. Rescued and adopted</t>
  </si>
  <si>
    <t>Kollam</t>
  </si>
  <si>
    <t>Squirrel</t>
  </si>
  <si>
    <t>Palm Squirrel</t>
  </si>
  <si>
    <t>Sub-adult Three Striped Palm Squirrel held captive for 2 months</t>
  </si>
  <si>
    <t>Dog attacked with a machette resulting in deep wound on her back and shoulder fracture. Rescued and given intensive treatment</t>
  </si>
  <si>
    <t>Man caught raping cow. FIR registered u/s 377</t>
  </si>
  <si>
    <t>Adult Rose ringed parakeet. No primaries, secondaries and rectrices. Upper beak snipped (old injury)</t>
  </si>
  <si>
    <t>Young boy tries to kick puppy, kicks mud over him</t>
  </si>
  <si>
    <t>Subadult Rose Ringed Parakeet. No secondaries and rectrices. Primaries growing</t>
  </si>
  <si>
    <t>Female dog (mother of a few puppies) killed with a bat, the murderer took away her 4 paws with the help of a knife. FIR lodged.</t>
  </si>
  <si>
    <t>Two dogs deliberately run over by a car, another beaten and hit with stones, all 3 died.</t>
  </si>
  <si>
    <t>Ambala Cantt.</t>
  </si>
  <si>
    <t>Adult Rose Ringed Parakeet with primaries of both wings and rectrices clipped</t>
  </si>
  <si>
    <t>10 Street dogs brutally beaten and captured and taken away in sacks, security guards involved, police complaint lodged</t>
  </si>
  <si>
    <t>Rose Ringed Parakeet Nestling with primaries of both wings clipped, rectrices also broken</t>
  </si>
  <si>
    <t>Dogs poisoned in Nalwa Gali</t>
  </si>
  <si>
    <t>BSF seized five trucks crammed with animals. The animals were being illegally transported to Bangladesh. 410 cattle seized  in one week</t>
  </si>
  <si>
    <t>Gausapara</t>
  </si>
  <si>
    <t>BSF seized 137 cattle from smugglers. The animals were being transported to Bangladesh.</t>
  </si>
  <si>
    <t>East and South Khasi Hills</t>
  </si>
  <si>
    <t xml:space="preserve">Wild Birds </t>
  </si>
  <si>
    <t>Rose Ringed Parakeet Nestling with primaries of both wings clipped</t>
  </si>
  <si>
    <t>One person was booked after four five-day old puppies were burnt alive as wild plants were set on fire in a vacant plot on the pretext of cleaning it. The wild growth was set alight and puppies left to die. As the puppies were set on fire their mother watched helplessly, howling and attempting to save her newborns. She was later seen whining near the dead puppies. Mohadi Lal, a vegetable vendor, booked under PCA and IPC.</t>
  </si>
  <si>
    <t>Jalandhar</t>
  </si>
  <si>
    <t>Superstition Led Assault</t>
  </si>
  <si>
    <t>Adult Rose Ringed Parakeet with Fortune teller. No primaries + seondaries of both wings and rectrices</t>
  </si>
  <si>
    <t>Star Tortoise</t>
  </si>
  <si>
    <t>Subadut Star Tortoise kept captive</t>
  </si>
  <si>
    <t>Sambar</t>
  </si>
  <si>
    <t>4 kill, skin Sambar for meat. Investigation ongoing</t>
  </si>
  <si>
    <t>Mohali</t>
  </si>
  <si>
    <t>Puppy's ears stuck above his head with super glue, causing immense pain. Rescued and treated</t>
  </si>
  <si>
    <t>Assagao</t>
  </si>
  <si>
    <t>Cab driver runs over dog, arrested, booked u/s 279, 429 IPC</t>
  </si>
  <si>
    <t>2 year old Street dog named Lalu attacked by person named Sunderlal with a sword, dog critically injured, admitted in hospital, died later, FIR registered</t>
  </si>
  <si>
    <t>Dog attacked with boiling water, causing critical wounds on his nose, cheek, and the area around his eyes. Rescued and treated. Legal action is planned on being taken.</t>
  </si>
  <si>
    <t>2-month old puppy slammed against the wall by securty guard. Under treatment with HSI. Case registered u/PCA, IPC</t>
  </si>
  <si>
    <t>Calicut</t>
  </si>
  <si>
    <t>Man caught on CCTV raping four newborn puppies. Was seen doing the same thing a month earlier, and had been warned by local residents. Police initially refused to file a complaint despite video evidence, claiming that the nature of the crime was unclear. Arrest made 2 weeks later u/s 377, 294b, 429 IPC</t>
  </si>
  <si>
    <t>Two men Mohd. Nazim and Abdul Rehman arrested for attempting to slaughter two calves, booked under PCA and Uttarakhand Protection of Cow Progeny Act, 2007</t>
  </si>
  <si>
    <t>3 month old dog delierately run over by person named Avatar Singh with his car, when the dog was sleeping peacefully in the Street, dog died, FIR registered. The accused has previously also tried to run over dogs with his car.
Residents in the locality often beat up dogs with sticks and stones or throw hot water on them from their balconies, so that the dogs run away and don't dirty the Streets or the houses.</t>
  </si>
  <si>
    <t>Two dogs named Goofy and Pluto found with injuries and broken forelimbs. Rescued and being treated.</t>
  </si>
  <si>
    <t>Juvenile Three Striped Palm Squirrel was kept in captiviy for a month. Very weak condition</t>
  </si>
  <si>
    <t>Black Kite Nestling with upper beak absent from nostrils. Left leg had two digits missing. Recumbant and abdominal breathing. Possible black magic</t>
  </si>
  <si>
    <t>Dog kept tied up in compound, no walks. Workers are taking care of him, but people are harassing a lot. Wants to give the dog for adoption, to be arranged</t>
  </si>
  <si>
    <t>Donkey</t>
  </si>
  <si>
    <t>Pregnant Donkey's legs tied, head bashed in with stones, all four of her legs twisted, battered and completely broken. Unknown assailant. Rescued and treated</t>
  </si>
  <si>
    <t>Video showing one man kicking a Street dog out of his home and another badly hitting the dog with a long bamboo stick.</t>
  </si>
  <si>
    <t>Criminal Neglect and Cruelty in a Shelter</t>
  </si>
  <si>
    <t>200+ cows die in overcrowded cow shelter. Cows in poor condition, malnutrition due to lack of funds from govt. 3-4 cows die each day.</t>
  </si>
  <si>
    <t>Flap Shell Turtle</t>
  </si>
  <si>
    <t>Sub-adult Flap Shell Turtle held captive for 3 years</t>
  </si>
  <si>
    <t>Street dog hit by a person with iron rod on its head, rescued by neighbour</t>
  </si>
  <si>
    <t>Guard beat up two puppies with a stick, stuffed them in a sack and threw them away somewhere, killing both the dogs. He did this as per the instructions of his owner (employer).</t>
  </si>
  <si>
    <t>Businessman named Harjinder Singh beat up Street dog with iron rod, to vent out his frustration after fighting over car parking with his neighbour, who had fed the dog. Dog critically injured, admitted to a hospital</t>
  </si>
  <si>
    <t>26 dogs found tied in sacks with mouths taped shut in terrible conditions in warehouses. Dog meat trade. Rescued in severely dehydrated state. Four arrested, out on bail</t>
  </si>
  <si>
    <t>Jowai</t>
  </si>
  <si>
    <t>Three booked under Section 429 IPC for killing pet dog by poisoning in Kurukshetra, Haryana</t>
  </si>
  <si>
    <t>Kurukshetra</t>
  </si>
  <si>
    <t>Man seen sexually abusing a dog, caught on CCTV. Police agreed to FIR only u/s 249 IPC, 11(1)(k) PCA. Man arrested</t>
  </si>
  <si>
    <t>Tourist spots people throwing stones on a dog who was malnourished, full of fleas, cuts, bruises and was limping badly. Possibly abandoned. Rescued and treated</t>
  </si>
  <si>
    <t>Street dog beaten to death, accused dumped the dog's mortal remains in some other locality, complaint lodged, police yet to take action</t>
  </si>
  <si>
    <t>Dog beaten, poisoned, was rescued, treated and adopted</t>
  </si>
  <si>
    <t>Some people tied 2 month old puppies with a rope and stuffed them into a sack. When the mother of the puppies arrived, the people dropped the sack containing the puppies, out of fear.</t>
  </si>
  <si>
    <t>Alexandrine Parakeet fledgling kept in captivity</t>
  </si>
  <si>
    <t>Street dog being beaten. Police and AWO visited his house, wasn't there. Instructed to come to police station. Complaint filed</t>
  </si>
  <si>
    <t>Case under Section 429 IPC against five people for killing pet dog of a woman, by beating it with iron rods and knife</t>
  </si>
  <si>
    <t>58-year-old man named Harjinder Singh arrested for flogging Street dogs in his area with a stick, critically injuring one in west Delhi’s Ramesh Nagar, booked under IPC and PCA. The incident happened on January 31.</t>
  </si>
  <si>
    <t>Street dogs beaten, chased away by people when entering park. AWO counselled the people, explained PCA</t>
  </si>
  <si>
    <t>Caesar, an 11 year old lab-mix that lives with a family in Calangute, which was found (three days late) with severe burnt injuries from hot water thrown at him.</t>
  </si>
  <si>
    <t>Calangute</t>
  </si>
  <si>
    <t xml:space="preserve">Mini-truck packed with around 300 goats in unhygienic and life-threatening conditions seized, driver and helper of truck booked under the PCA.
</t>
  </si>
  <si>
    <t>Finger of monkey cut for making it obey the instructions given to it, rescued</t>
  </si>
  <si>
    <t>6 puppies rescued from a fraud lady animal rescuer, 2 puppies had their eyes punched in, one had its head smashed. The lady deliberately separates puppies from their mothers and then raises funds after deliberately hurting them, holding them hostage unless money is paid.</t>
  </si>
  <si>
    <t>Dog tied on a short leash, without food or water. Passersby hit him and threw stones at him because he had a skin condition that made him look 'ugly' and dangerous. Rescued and treated</t>
  </si>
  <si>
    <t>Case registered against 100 unidentified people for locking 35 bovines in a government school. The accused said they did this to prevent the cows from destroying their crops.</t>
  </si>
  <si>
    <t>Labrador pushed out of car, remained in the same area for a few days waiting for his owners. Rescued with a bloodied foot filled with maggots. Completely recovered after medical care and stay at the shelter, up for adoption</t>
  </si>
  <si>
    <t>Video surfaces of a man raping a dog, police search launched.</t>
  </si>
  <si>
    <t>Man runs over 2 puppies sleeping under his car. Case booked, investigation ongoing</t>
  </si>
  <si>
    <t>Drunk men slashes dog's neck with machete. Rescued and recovering</t>
  </si>
  <si>
    <t>8 booked u/WPA for killing and mutilating a tiger. On the run, not yet arrested</t>
  </si>
  <si>
    <t>2 month old puppy stepped on, resulting in fractured spine and lack of bladder control, rescued.</t>
  </si>
  <si>
    <t>Gandhinagar</t>
  </si>
  <si>
    <t xml:space="preserve">Grey langur fatally shot with air rifle. 3 bullets found in his body. </t>
  </si>
  <si>
    <t>Raigad</t>
  </si>
  <si>
    <t>Woman beats Street dog to death with a washing bat for vomiting outside her door. FIR registered u/s 428 IPC</t>
  </si>
  <si>
    <t>Security guards of apartment reported to have beaten the Street dogs. They denied it to the AWO, said they only show the stick to scare them away. Said an old man in the apartment beat one dog</t>
  </si>
  <si>
    <t>Dog tied with sharp material and beaten to death. Two arrested u/s 11 (1)(L) Cruelty to Animals, s 428 IPC</t>
  </si>
  <si>
    <t>A cat was murdered, in a residential colony, by an unidentified person who hit her with a wooden plank. FIR lodged against the culprit. Body of the dead animal has been exhumed for autopsy.</t>
  </si>
  <si>
    <t>Pregnant goat raped to death by drunk labourer. FIR u/ IPC, WPA. Arrested</t>
  </si>
  <si>
    <t>Patna</t>
  </si>
  <si>
    <t>Adult Alexandrine Parakeet kept in captivity for 6 years</t>
  </si>
  <si>
    <t>Nursing students bludgeon 16 puppies to death with blunt instruments. Case booked u/s 429 IPC, s. 11(1)(L) PCA. 2 arrested,  charges filed</t>
  </si>
  <si>
    <t>18 puppies were brutally assaulted. One of the puppies died and another one was "tourtured". Rescued and treated.</t>
  </si>
  <si>
    <t>18 puppies were brutally assaulted. 16 puppies died, one was traumatised and another one was "tourtured". Rescued and treated.</t>
  </si>
  <si>
    <t>17 puppies and a dog beaten up, poisoned and dumped in plastic bags on hospital premises. Dog found with serious injuries and two puppies found alive and treated. Dog and one puppy survive, while 16 dead. FIR registered u/s 429 IPC</t>
  </si>
  <si>
    <t>Pulhana villagers beat endangered animal, a rare Indian pangolin, to death</t>
  </si>
  <si>
    <t>Dog starved to death</t>
  </si>
  <si>
    <t>During a Jatra performace (a popular traditional theatre form) a performer ate a raw pig after killing it on stage.</t>
  </si>
  <si>
    <t>Ganjam</t>
  </si>
  <si>
    <t>A dog named Pantua was found with crushed limbs and eye poping out of the eye-socket. The animal was, allegedly, beaten up.</t>
  </si>
  <si>
    <t>3 Cats including one pet caught and electrocuted with wire. FIR u/s 11(1) PCA, s 429 IPC</t>
  </si>
  <si>
    <t>Female Plum Headed Parakeet with Feathgers unkept (Not groomed). Kept in captivity for a month</t>
  </si>
  <si>
    <t>Hosadurga</t>
  </si>
  <si>
    <t>New security guard of apartment hurting Street dogs. AWO visited, counselled all the security guards, explained PCA, gave a copy of SC order. They promised not to chase the dogs away again</t>
  </si>
  <si>
    <t>Man killed, burned, cooked and ate a rhesus macaque, posted on social media. Booked u/WPA</t>
  </si>
  <si>
    <t>West Garo Hills</t>
  </si>
  <si>
    <t xml:space="preserve">Female dog rescued from drunk man trying to rape her. Perpetrator handed over to police, complaint filed. </t>
  </si>
  <si>
    <t>Images</t>
  </si>
  <si>
    <t>Dead body of a dog was put in a plastic sack and it was about to be disposed.</t>
  </si>
  <si>
    <t>Bhayandar</t>
  </si>
  <si>
    <t xml:space="preserve">Tiger found dead in sanctuary, suspected poisoning. </t>
  </si>
  <si>
    <t>Nagpur</t>
  </si>
  <si>
    <t>News.</t>
  </si>
  <si>
    <t>Puppy burned alive.</t>
  </si>
  <si>
    <t>Deep wound on dog's face due to being attacked by some sharp weapon.</t>
  </si>
  <si>
    <t>Pet stolen and tied on railway track, killed. FIR filed u/s 429 IPC</t>
  </si>
  <si>
    <t>Monkey killed for meats. Pitcures of the animals cooked meat shared on social media by the accussed.</t>
  </si>
  <si>
    <r>
      <t>F</t>
    </r>
    <r>
      <rPr>
        <b/>
        <sz val="12"/>
        <color rgb="FFFF0000"/>
        <rFont val="Arial"/>
        <family val="2"/>
      </rPr>
      <t>arm Animals</t>
    </r>
  </si>
  <si>
    <t>Pregnant cow sexually assaulted, found tied to a tree, bleeding with swelling. Case registerd u/s 2(1)(a) PCA, investigation ongoing</t>
  </si>
  <si>
    <t>East Godavari</t>
  </si>
  <si>
    <t>Female dog (pregnant with 4 puppies) killed mercilessly. FIR filed but SHO denies action.</t>
  </si>
  <si>
    <t>Man throws brick at dog's head, causing loss of an eye. Rescued and treated. Police initially didn't take any action, but after intervention from senior officers, FIR registered u/s 428, 429 IPC, PCA. Perpetrator said to have a history of harming animals, breaking their limbs, throwing puppies and engaging in bestiality</t>
  </si>
  <si>
    <t>Barbed wire embedded in a dog's neck, pus and blood oozing.</t>
  </si>
  <si>
    <t>Pathankot</t>
  </si>
  <si>
    <t>90 goats being transported to the slaughterhouse saved.</t>
  </si>
  <si>
    <t>An elephant that apparently entered an urban space in Cuttack was chased by a speeding vehicle with the intention to hurt/scare the animal.</t>
  </si>
  <si>
    <t>Cuttack</t>
  </si>
  <si>
    <t>An angry bank employee shot dead his neighbour's pet dog. Saroornagar police seized the weapon, took the accused into custody and registered a case under section 336 and 429 of IPC besides relevant sections of the PCA Act.</t>
  </si>
  <si>
    <t>Rose Ringed Parakeet Adult. Clipped primaries</t>
  </si>
  <si>
    <t>Jitendra Singh Rathore and his allies beat up Street dogs with sticks and iron rods under the influence of alcohol</t>
  </si>
  <si>
    <t>Dog named Bholu found in horrible condition. It was starving and looking for something to eat in the village. Some of the people in the village, who don't like the dog, often beat it with wooden stick and stones. These people threw Acid on Bholu. Poor dog ran and came across a shop, crying in unbearable pain. Rescued.</t>
  </si>
  <si>
    <t>Dadri</t>
  </si>
  <si>
    <t>Picture shows employee of local authority brutally dragging the dead body of a dog (being taken for burial) with one of its legs.</t>
  </si>
  <si>
    <t>Two men rape a Street dog, tie the animal behind their scooter and drag her to death. Witnesses saw them dragging the dog, caught one man while other escaped. Arrested, case registered. Police looking for accompalice. Perpetrator claims the dog had bitten many people in the locality so this was done to teach her a lesson</t>
  </si>
  <si>
    <t>Street dog cruelly killed by two youths Nafees and Tauseef who tied it to a motorcycle and dragged it over a distance of 3 km, dog had injury marks over body and was maybe subjected to unnatural sex, youths booked under PCA and Section 429 IPC</t>
  </si>
  <si>
    <t>Female dog brutally killed by woman named Saroj Bala by hitting the dog with rods on her head, her 6 puppies first separated from the mother and relocated and then killed by poisoning them.</t>
  </si>
  <si>
    <t>Dog found dead with hind legs tied, suspected poisoning.  Case will be filed.</t>
  </si>
  <si>
    <t>2 Spitz pet dogs- 13 year old Rosy (completely blind) and 9 year old Silky dragged out of the owner's house by Nagar Nigam officials in the most brutal manner, on the pretext that the owner did not have registration of the dogs. Both dogs were howling and yelping in pain. Dogs were taken and shoved into the chilled Kanha Upvan. They were reunited later.</t>
  </si>
  <si>
    <t xml:space="preserve">Two men tie mother dog to scooter, dragged for 3km. Case booked u/s 429 IPC, PCA. One arrested. Puppies to be shifted to shelter </t>
  </si>
  <si>
    <t>FIR lodged against a fake veterinary doctor (but who claimed to be a genuine one) named Bodhram Khanna, due to his several treatment, several dogs have died.</t>
  </si>
  <si>
    <t>6 year old girl picked up a small puppy from the park and brought him inside her house, smashed his head repeatedly and jumped on his face. His brain cam eout through his eyes, dieed on the spot. This is the second puppy that she has killed. Her parents are also justifying her act and threatening to kill more puppies.</t>
  </si>
  <si>
    <t>Dog named Hatchi dumped at construction site, while he was howling in pain, due to multiple fractures, concussions, due to severe blunt force injury, front leg broken in multiple places and jaw fractured. Rescued.</t>
  </si>
  <si>
    <t>Dog brutally murdered, after tying both his back legs with a cloth, dead body found outside a society</t>
  </si>
  <si>
    <t xml:space="preserve"> Rose Ringed Parakeet kept in captivity, primaries and a few secondaries of both wings were clipped</t>
  </si>
  <si>
    <t xml:space="preserve"> Rose Ringed Parakeet kept in captivity, plumage unkept. Abrasions on the keel. Already drying up</t>
  </si>
  <si>
    <t>2 seen feeding cow poison. Culprits identified by CCTV footage, FIR u/s 429 IPC</t>
  </si>
  <si>
    <t>Saharanpur</t>
  </si>
  <si>
    <t>14 cows found dead. Suspected of consuming grains laced with pesticides. Case booked u/s 429 IPC</t>
  </si>
  <si>
    <t>Jhansi</t>
  </si>
  <si>
    <t>58 cows die in cow shelter, suspicions about contaminated fodder. Three-member committee set up to probe the issue</t>
  </si>
  <si>
    <t>Agar Malwa</t>
  </si>
  <si>
    <t xml:space="preserve">Woman first tried to run over a dog with her scooty, then hit it with a glass and finally poured kerosene on the dog to kill it
</t>
  </si>
  <si>
    <t>3 year old female Pomeranian pet dog beaten up with a belt by her owner, leading to a bruised eye. She is neglected and is usually on her own.</t>
  </si>
  <si>
    <t xml:space="preserve">Dog brutally assaulted by 4 men, fatal wounds (possible ASA but denied by police). Body sent for post mortem, FIR registered. </t>
  </si>
  <si>
    <t>Puppy run over by auto driver who didn't look back as her hind limbs were crushed to pieces. Rescued, had to be amputated</t>
  </si>
  <si>
    <t>Cats being bagged and sold for consumption. Reported to be boiled alive at times. Pets also suspected to be stolen in order to be sold later. No action taken against perpetrators despite them being suspected of selling cat meat to wayside eateries and government-run liquor shops</t>
  </si>
  <si>
    <t>4 men gangrape dog and mutilate his genitalia. Dog sustained serious injuries, passed away five days later, despite medical attention</t>
  </si>
  <si>
    <t>Rose Ringed Parakeet Adult kept in captivity from 1 and a half years</t>
  </si>
  <si>
    <t>Pet dog routinely hit by owners. Kept outside even in extreme weathers, heard crying for many hours altogether. Left alone when owners travel out of town. Given dirty drinking water and inadequate food</t>
  </si>
  <si>
    <t>Rope tied around the neck of a dog so tightly that it was unable to breathe.</t>
  </si>
  <si>
    <t xml:space="preserve">3 newborn kittens thrown over a 10ft wall, two died, one survived and was rescued </t>
  </si>
  <si>
    <t xml:space="preserve">Shooters called to kill a man-eater leopard, that had killed a 7-year-old boy and had also chased a 15-year-old who died from the jump he took in panic.
</t>
  </si>
  <si>
    <t>During the fireworks at the time of Diwali, many animals suffered near-fatal burn injuries, while some died of heart attack. A dog became unrecognizable after suffering burns on its face. Dogs received burns on their arms, head and other body parts. A complete side of a dog's face, including its eye, sustained burns.</t>
  </si>
  <si>
    <t>Male resident of a colony beats Street dogs regularly</t>
  </si>
  <si>
    <t>Black Eagle</t>
  </si>
  <si>
    <t>Black eagle bird illegally kept at home in a closed dirty room, in a very bad condition, rescued.</t>
  </si>
  <si>
    <t xml:space="preserve">40 year old married man Kanhaya, a truck driver, killed owl to perform black magic to attract woman, accused had cut the claws of the owl with a knife and inserted several needles into its liver and lungs, suggesting that he used the owl as a voodoo, owl died due to multiple puncture wounds. Arrested </t>
  </si>
  <si>
    <t>It is alleged that Tiger T1, Avni was unnecessarily subjected to a gunshot when the plan was to merely tranquilize her.</t>
  </si>
  <si>
    <t>Indian Heron</t>
  </si>
  <si>
    <t>An Indian Heron was tourtured to death by miscreants in the process of taking pictures (selfies) with the bird. Police was called, but the miscreants had run away by then.</t>
  </si>
  <si>
    <t>2 Rose Ringed Parakeets kept as pets for a year. One had stiffness of carpal joint in thr right wing</t>
  </si>
  <si>
    <t>Jenny, a mother of three puppies, was attacked with acid by unidentified person(s). The dog was taken to the hospital, but later went missing.</t>
  </si>
  <si>
    <t>Dog Sheru attacked with acid, suffered 3rd degree burns. Recovering now at shelter</t>
  </si>
  <si>
    <t>A man attacked a female dog named Veera was with a sharp weaopn causing serious injuries to both her forelimbs. Dog rescued and culprit taken into police custody.</t>
  </si>
  <si>
    <t>In the Lal Kurti area of Meerut city, members of the Baheliya community deal with individual and pairs of owls brought in by the trappers and poachers from Uttarakhand. The birds are subjected to brutal deaths through black magic rituals. They are sacrificed in tantrik rituals during Diwali. There are atleast 16 tribes involved in the trade across Pilibhit, Meerut, Moradabad, Agra, Dehradun and Ambala. Live owls buried during Diwali outside the door of a house is supposed to bring prosperity. Birds are even blinded before it is slowly killed over days. Birds are also trapped with the 'latex and bamboo' method and 'takkva' method.</t>
  </si>
  <si>
    <t xml:space="preserve">Meerut
Nainital
</t>
  </si>
  <si>
    <t>Rose Ringed Parakeet Clipped feathers. Adult.</t>
  </si>
  <si>
    <t>Hegganahalli</t>
  </si>
  <si>
    <t>A female dog, mother of 4 puppies, was attacked with a sharp knife by a butcher who tried to cut her limb, in Basdroni. Animal rescued, culprit arrested.</t>
  </si>
  <si>
    <t>A less than 12 hours old calf, a a birth defect called 'Hydrocephalus' was found abandoned. The calf was recused, but could not survive beyond 48 hours in the absence of coloustrum (first milk from mother).</t>
  </si>
  <si>
    <t>Minor rapes four-month old calf. Calf died from internal injuries. FIR u/s 377, 429 IPC</t>
  </si>
  <si>
    <t>Miscreants ran their cart over a dog with the intention to injure it. The dog's legs were crushed in the incident. Rescued and treated.</t>
  </si>
  <si>
    <t>2 pet dogs- 1.5 year old rottweiler named Found and 4 year old pitbull named Bully found poisoned and dead, with blue tongues.</t>
  </si>
  <si>
    <t>2 Juvenile Three Striped Palm Squirrels kept captive for 2 months</t>
  </si>
  <si>
    <t>Dog kicked, beaten sometimes. Kept open in spacious area, well maintained otherwise. AWO visited and instructed not to kick or beat the dog</t>
  </si>
  <si>
    <t>Bulbul</t>
  </si>
  <si>
    <t>Adult Red Whiskered Bulubul was kept in captivity for 3 months</t>
  </si>
  <si>
    <t>People on the Street beat, thrown stones on Street dog. Rescued</t>
  </si>
  <si>
    <t>Trivandrum</t>
  </si>
  <si>
    <t xml:space="preserve">Two goats kept tied, one on a short leash was crying. AWO requested owner to provide a longer string so the goat will feel free, agreed and did it immediately </t>
  </si>
  <si>
    <t>A dog was choked using a copper wire. The dog sustained deep wounds around neck. Rescued and being treated.</t>
  </si>
  <si>
    <t>Rose Ringed Parakeet Adult. Primaries and tail feathers clipped.</t>
  </si>
  <si>
    <t>Three 8 weeks old puppies torturted and killed by children living in a PWD slum.</t>
  </si>
  <si>
    <t>A female dog was beaten by a bunch of kids, living in a mumbai slum, while trying to protect her 7 months old puppies. The dog is seriously injured and has a maggot infested wound now.</t>
  </si>
  <si>
    <t>Man beats Street dog, gouges out eye. Police refused to take action. Dog taken for medical treatment</t>
  </si>
  <si>
    <t>Man named Navneet tortures and shoots community dogs with airgun, he also bought an underage rottweiler puppy whom he beats, does not have any registration documents from the Kennel Club of India.</t>
  </si>
  <si>
    <t>Video shows 4-5 men catching a dog in a net and brutally beating it with sticks until its death.</t>
  </si>
  <si>
    <t>Owlet</t>
  </si>
  <si>
    <t>Sub adult Spotted Owlet with Primary follicles of both wings damaged. Kept in captivity</t>
  </si>
  <si>
    <t>A pregnant dog, staying near a meat shop, was allegedly attacked by one of the owners with a heavy knife causing a deep wound that runs through her entire back, and is also infected with maggots. Rescued.</t>
  </si>
  <si>
    <t>Kids saw a dog scratching a maggot wound and thought he was suffering from rabies. Decided to tie him up and beat him brutally. Rescued with his head been bashed in, blood everywhere, and in a comatose state</t>
  </si>
  <si>
    <t>Street dogs beaten by lake management. 18 dogs present in the locality.</t>
  </si>
  <si>
    <t>Kids hit a small puppy regularly, in Andheri. Rescued and put up for adoption.</t>
  </si>
  <si>
    <t>Children tie a rubber band tightly on friendly dog's tail, which cut to the bone, requiring amputation</t>
  </si>
  <si>
    <t>Dog attacked with acid, unable to stand. Rescued</t>
  </si>
  <si>
    <t>7 Puppies Found Dead under mysterious circumstances in apartment complex with cut marks on body, Resident Alleges Animal Cruelty. Case will be registered under PCA and IPC.</t>
  </si>
  <si>
    <t>Man arrested for raping a female Street dog after video of the act surfaced. FIR lodged u/s 377. Police are looking for the dog to carry out medical examination, man in judicial custody u/s 151 CrPC</t>
  </si>
  <si>
    <t>Single parakeet found in terrible conditions at temple. Crammed in a dark, unclean cage. Dirty drinking water, rotting food and excreta left in cage. Tail cut. Feather picking and fearful behaviour noted</t>
  </si>
  <si>
    <t>Security guard raped Street dog, Bindu, by inserting a rod in her vagina, pulling out her intestines. This was an act of retribution after he was scared by her bark. Bindu died of trauma, and her new born puppies did not survive after she died. Security guard arrested, booked u/ s 11(1) (a), (l) PCA, 429 IPC and granted bail on bond of Rs. 3k. Public outcry over the incident, with demands to charge him u/377 as well</t>
  </si>
  <si>
    <t xml:space="preserve">Mumbai </t>
  </si>
  <si>
    <t>Unknown assailants threw hot water on puppy, died later</t>
  </si>
  <si>
    <t>Panaji</t>
  </si>
  <si>
    <t>street Animals</t>
  </si>
  <si>
    <t>Jimmy, a male calf found with a rope tied around his neck cutting into his flesh. He was slowly choking to death. He was most likely born in a dairy operation and abandoned on the Street because he was a boy, but he still had the rope tied around his neck. As he grew, the rope cut through the layers of skin, deeper and deeper. the rope was buried in his skin, maggots entered the wound. Rescued</t>
  </si>
  <si>
    <t>Lady regularly throwing stones at the Street dogs. One hit a car, which led to an FIR being filed against her. The police warned her against hitting dogs then. AWO also visited and warned her strictly of action being taken if it's repeated</t>
  </si>
  <si>
    <t>Dog brutally beaten by people with sticks, FIR filed, rescued.</t>
  </si>
  <si>
    <t>Man beating Street dog. AWO warned him that if he beats any animal it is cruelty and a police complaint will be lodged</t>
  </si>
  <si>
    <t>80 yr old man arrested for raping a cow. Local population demanded that police take action. Family allege that the accused in being framed in a land dispute</t>
  </si>
  <si>
    <t>Rajgarh</t>
  </si>
  <si>
    <t>Supersitition led Assault</t>
  </si>
  <si>
    <t>Rose Ringed Parakeet Adult kept by fortune tellers. Feathers clipped and feather follicles damaged</t>
  </si>
  <si>
    <t>Abbigere</t>
  </si>
  <si>
    <t>Cattle truck overloaded, carrying buffaloes without food and water, raided. Violation of PCA Act.</t>
  </si>
  <si>
    <t>Rose Ringed Parakeet Adult. Primaries, Secondaries and tail feathers clipped</t>
  </si>
  <si>
    <t>Rose Ringed Parakeet Fledglingwith primaries and secondaries cut on both sides</t>
  </si>
  <si>
    <t>Man claimed that another man residing in the same society had killed his pet cat by poisoning it.</t>
  </si>
  <si>
    <t>Man caught trying to throw a packet with 7 three-week-old puppies into the sea. Rescued</t>
  </si>
  <si>
    <t xml:space="preserve">Dog posioned by society residents by feeding her chocolate laced with posion. Residents also refused to allow vet to enter society to treat her. Rushed to hospital in a comatose condition, but could not be saved </t>
  </si>
  <si>
    <t>Pregnant goat gangraped by 8 men, died a day later. Case registered u/s 377 IPC, PCA against 8. No arrests yet</t>
  </si>
  <si>
    <t>Mewat</t>
  </si>
  <si>
    <t>65 year old senior citizen man assaults, beats dog mercilessly with a stick, dog left 300 m away from house after incident, dog has been missing from the locality, not sure if alive or dead, man arrested under IPC and PCA</t>
  </si>
  <si>
    <t>Dog named Tarzan 2 suffered horrible injury including severance of its trachea, skin injury and swelling of face (due to obstruction of blood vessels) due to elastic rubber band around its neck/throat. Rescued</t>
  </si>
  <si>
    <t>Street dogs beaten by a man with sticks as they allegedly tried to chase him and a police complaint will be lodged.</t>
  </si>
  <si>
    <t>Puppy adopted by family whose son has substance-abuse issues and would beat the puppy. Surrendered to shelter by his parents</t>
  </si>
  <si>
    <t>Female dog picked up for ABC. During surgery, doctors found a screwdriver handle that had been inserted into her vagina and torn her uterus. Recovering now</t>
  </si>
  <si>
    <t>Abandoned puppy beaten by multiple people with a stick. Rescued</t>
  </si>
  <si>
    <t>Panjim</t>
  </si>
  <si>
    <t>Dog hit by some unidentified person, found with a fractured leg. Rescued and treated.</t>
  </si>
  <si>
    <t>Two police officers in a patrol vehicle run over a cow. Cow was crossing the road when they hit her. and her leg got stuck under the wheel. People gathered to save her but the police ran over her again. Arrested only after video of the incident went viral. Charged with rash driving and animal cruelty. Cow in critical condition</t>
  </si>
  <si>
    <t>Rajnandgaon</t>
  </si>
  <si>
    <t>Dog meat shop operating in the outskirts of Bangalore</t>
  </si>
  <si>
    <t>A dog named Bangdu was beaten by a man. The dog suffered internal injury and could not stand on his limbs for the next 48 hours. Rescued and treated. The accused continues to threaten to kill the dog.</t>
  </si>
  <si>
    <t>Man arrested for raping a Street dog in his house. He lured her into his house, tied her mouth and was caught in the act. Case registered u/s 377. Dog sent to hospital where doctors confirmed the rape</t>
  </si>
  <si>
    <t>Dog attacked with acid. Rescued and treated.</t>
  </si>
  <si>
    <t>Midnapur</t>
  </si>
  <si>
    <t>Camel</t>
  </si>
  <si>
    <t>5 camels rescued from being slaughtered for Eid. Found with thier mouth &amp; legs tied, 1 camel was bleeding from the leg. There was no food or water provided. FIR registered u/s 428, 429 IPC, s 11 PCA. 4 remanded in judicial custody</t>
  </si>
  <si>
    <t>Uthukottai</t>
  </si>
  <si>
    <t>Man seen beating GSD with a stick while walking him, claimed he was training him</t>
  </si>
  <si>
    <t>Dog tied up and thrown on side of main road. Died of injuries. FIR registered u/s 429 IPC</t>
  </si>
  <si>
    <t>Sangareddy</t>
  </si>
  <si>
    <t>Dog named batty attacked with acid in Thakurpukur. Entire back of the animal burnt.</t>
  </si>
  <si>
    <t>A female dog was found poisoned. The animal died after suffering for over three days.</t>
  </si>
  <si>
    <t>Drunk man threw 2 Street puppies in a drain, mother of puppies also jumped into drain, rescued</t>
  </si>
  <si>
    <t xml:space="preserve">Husky kept on empty plot in unclean environment. Owners seen hitting the dog multiple times. Left out in the plot all the and night for at least 6 months. Also suspected illegal breeding as dog has been forced to breed. May be stolen dog. Police contacted to assist in confiscation </t>
  </si>
  <si>
    <t>Acid thrown on female Street dog, burns suffered by the dog, rescued</t>
  </si>
  <si>
    <t>Cobra</t>
  </si>
  <si>
    <t>Entertainment, captivity and Assault</t>
  </si>
  <si>
    <t>Sub-adult Spectacled Cobra seized from snake charmers. Right side of the head - depression at the venom gland site and fangs absent. Left side fangs present</t>
  </si>
  <si>
    <t>Video shows men brutally beating cows with sticks, who are tied to trees by their legs</t>
  </si>
  <si>
    <t>Pratapgarh</t>
  </si>
  <si>
    <t>Pet dog kept chained 24/7, beaten every night by drunk owner, who pulls it by the collar and throws him to the ground, the dog is heard crying</t>
  </si>
  <si>
    <t>Civet Cat</t>
  </si>
  <si>
    <t>A civet cat was beaten up and shot dead in a police training institute.Photographs were clicked with the dead animal. POR filed against unidentified persons under sections 9 and 51 of the Wildlife Protection Act, 1972.</t>
  </si>
  <si>
    <t>4 arrested for pouring hot tar/ bitumen on sleeping dog during construction of road, case registered under IPC and PCA. A fresh layer of coal tar was being laid on the road from Phool Sayyed crossing towards the Circuit House and the Taj Mahal. A dog was sleeping on one side of the road. Instead of chasing the animal or removing it physically, burning coal tar was poured over it. Later, a road roller crushed the animal. The body has now disappeared,</t>
  </si>
  <si>
    <t>Video shows animal trafficker Sameer 'Ballu' Khan inflicting cruelty on elephants he had captured for the purpose of re-selling. The trafficker is not only torturing grown up tuskers but is also keeping a six-year-old jumbo in captivity, by the name of Suman whom he keeps chained in a hidden dark enclosure. He intends to sell the young tusker to the circus willing to pay the highest price, says the group. He is attacking an elephant with a hatchet in one video and another with a stick in a second video. In addition, the group also claims that Khan attacked an elephant with a stick before tying its feet together and burning it. The young elephant along with three of her family members was bought by Khan illegally from Moonlight Circus, alleges the group adding that many tuskers in Khan's custody have either mysteriously died or have simply disappeared. 
In recent weeks, Wildlife SOS started a campaign to draw attention to the plight of all the elephants who have suffered at the hands of Khan. They even secured more than 350,000 signatures that demanded Khan not be allowed to keep or raise any animals. 'The elephants must be seized and he must not be allowed to keep any elephants," said a member of the group.</t>
  </si>
  <si>
    <t>Pet dog routinely hit with a bamboo stick, dragged, kicked, has ears and tailed pulled. Owners threaten neighbours when they tried to intervene, cruelty continues</t>
  </si>
  <si>
    <t>Street dog named Buddy was mercilessly beaten by a cricket bat by man named Suraj Parmar and his father. The Street dog was partially blind and had been in the locality for a long time. The accused blamed the dog of barking and coming in the way and justified the cruel beating as a means to teach him a lesson. The dog has been beaten to such a serious degree that he is now very critical and has suffered internal trauma.</t>
  </si>
  <si>
    <t>Man throws boiling water on senior dog in revenge for biting his daughter, despite neighbour's protests and attempts to dissuade. Dog suffered scald wounds and bruises all over body, one eye was burned; his fur had been scorched right off, and even his penis was completely burned. Brought to shelter 3 days later, made full recovery</t>
  </si>
  <si>
    <t>Pigeons, with limbs tied, sold and transported in huge numbers in gunny bags. No action taken by police.</t>
  </si>
  <si>
    <t>People throw stones at elephant that entered temple premises. Forest dept looking for culprits</t>
  </si>
  <si>
    <t>Pomeranian abandoned and found to have been raped. Found with swollen genitals, bleding, ticks, fever, skin infection. Rescued</t>
  </si>
  <si>
    <t>Minor wounds caused due to multiple ropes entangled in Street cow's horns</t>
  </si>
  <si>
    <t>6 months old female dog named Kakdi found dead, her stomach was very hard and blood was oozing out of her nose and mouth, cause of death was poisoning.</t>
  </si>
  <si>
    <t>Dog run over by a man riding a motorcycle, resulting in death of dog, FIR filed.</t>
  </si>
  <si>
    <t>2 Rose Ringed Parakeet fledglings with primaries of both wings taped</t>
  </si>
  <si>
    <t>Chikkaballapur</t>
  </si>
  <si>
    <t>3 Street dogs beaten, chased in attemots to relocate them. AWO visited school head staff, strictly warned them and the security guards</t>
  </si>
  <si>
    <t>Plum Headed Parakeet</t>
  </si>
  <si>
    <t>Adult Plum Headed Parakeet with a few primaries missing in both wings. All secondaries clipped. Kept as a pet</t>
  </si>
  <si>
    <t>Street dog beaten to death for allegedly biting two people</t>
  </si>
  <si>
    <t>Metal wire tied around dog's stomach leading to a deep cut. Rescued and treated</t>
  </si>
  <si>
    <t>Jharkhand</t>
  </si>
  <si>
    <t>Ranchi</t>
  </si>
  <si>
    <t>Sloth Bear</t>
  </si>
  <si>
    <t xml:space="preserve">Man tries to take a selfie with a bear, gets attacked. Mob batters the bear to death with sticks and rocks. </t>
  </si>
  <si>
    <t>Street Dog living in a colony, always ignored and ill treated. Residents are after him and want him to be removed.</t>
  </si>
  <si>
    <t>Adult Black Kite with a metal ring on the right leg. Keel bone very prominent -Dehydrated. Ruffled feathers</t>
  </si>
  <si>
    <t>Two pet dogs put in bathroom and beaten</t>
  </si>
  <si>
    <t>Acid thrown on someone's pet dogs by unknown assailants</t>
  </si>
  <si>
    <t>Two kids beat up four puppies. On intervention by a local resident they threatened to kill them (the puppies). One of the four puppies one is seriously injured and can not stand.</t>
  </si>
  <si>
    <t>Raipur</t>
  </si>
  <si>
    <t>Rose Ringed Parakeet found to be very dull. Was held captive. No feathers around the eyes. Lower eye lid not completely opening</t>
  </si>
  <si>
    <t>Street dog beaten half dead</t>
  </si>
  <si>
    <t>Belgaum</t>
  </si>
  <si>
    <t>Man, son arrested for beating Street dog to death- the two-year-old dog was held down by Satpal, while his son beat it with a wooden plank, charged under the IPC and the PCA</t>
  </si>
  <si>
    <t>Two Street dogs rescued, both had suffered severe acid burns</t>
  </si>
  <si>
    <t xml:space="preserve">2 men put dog in a sack and beat him to death with sticks for allegedly biting a child. Police were uncooperative at time of filing FIR, made fun of complainants. Accused also abused and assaulted them post filing of complaint. </t>
  </si>
  <si>
    <t>Bull attacked with acid by unidentified person.</t>
  </si>
  <si>
    <t>A dog suffering from canine distemper was attacked with acid by some unidentified persons. The dog has deep burn injuries on its back. Suffering from seizures and loss of appetite. Rescued.</t>
  </si>
  <si>
    <t xml:space="preserve">2 Street dogs brutally beaten, resulting in multiple fractures and serious injuries. One died. No suspects, gathering information to file a complaint- only have information that this was done at the behest of some locals  </t>
  </si>
  <si>
    <t>Four dogs died under mysterious circumstances, in South-East Delhi's sunlight colony. Autopsy revealed internal beelding and fractured mandible as the cause of death. FIR registered under section 11, PCA Act.</t>
  </si>
  <si>
    <t>Rhesus Monkey</t>
  </si>
  <si>
    <t>Juvenile Rhesus Macaque found with leash and a collar to her neck</t>
  </si>
  <si>
    <t>A cat tied up, starved and burned to death in Oshiwara.</t>
  </si>
  <si>
    <t>Alexandrine Parakeet Fledgling with primaries and Tail feathers completely damaged, confined</t>
  </si>
  <si>
    <t>A Street dog attacked with acid twice by some unidentified persons, in Ayyapakkam.</t>
  </si>
  <si>
    <t>A Street dog hit with a sharp object causing deep wound on his tail.</t>
  </si>
  <si>
    <t>2 Three-Striped Palm Squirrel held captive for a month</t>
  </si>
  <si>
    <t>Street dog killed by a man.</t>
  </si>
  <si>
    <t>Puppy kept tied to the stairs railing throughout the day. Beaten by entire family for no apparent reason. Not walked much, fed little. Seen to be terrified of family when they come near him</t>
  </si>
  <si>
    <t>Pet dog tied to back of lorry and dragged to death. FIR filed u/s 11(1) PCA</t>
  </si>
  <si>
    <t>Sleeping female sterilized dog beaten by several secuirty guards on orders of four residents of housing society, succumbed to severe head and spinal injuries. Prior to this, a kid was bitten by a (different) dog in the society. FIR registered against the builder, security agency of the society and four named residents u/ss 429, 120b IPC, ss 11(1)(a), (l) PCA. No arrests made</t>
  </si>
  <si>
    <t>Indian Roller Bird</t>
  </si>
  <si>
    <t>Adult Indian Roller kept in a cage since 5 days. Keel bone - very prominent. MM - pale. Dehydrated. All tail feathers broken. Few primaries damaged</t>
  </si>
  <si>
    <t>Street dog attacked with acid by some unidentified persons. 80% of the body affected by burn injuried. Hindlimbs and genitalia severly injured. Rescued and being treated.</t>
  </si>
  <si>
    <t>A video surfaced on social media, that showed a dog sleeping in a temple, when two men started thrashing it with bamboo sticks, a third abuser joined in and beat the dog till it died. The man then dragged it by its legs and threw it in the bushes.</t>
  </si>
  <si>
    <t>Spiny Tailed Lizard</t>
  </si>
  <si>
    <t>Video showing trade of spiny tail lizard in Shanivari Bazar in Surat- due to bind faith and superstition, lizards caught from their burrows, their spines are broken to immobilize them, fried alive in a large vessel, the residue is sold as an aphrodisiac and a cure for muscular pain (Sande ka tel) forest dept informed, trade shut down in Surat</t>
  </si>
  <si>
    <t>Southern Coucal</t>
  </si>
  <si>
    <t>Adult Southern Coucal with no primaries in the right wing and no rectrices. One leg absent from stifle. Recumbant and quite dull</t>
  </si>
  <si>
    <t>Street dog entered complex, resident hit him and chased him. AWO visited, security was warned to not beat any dogs</t>
  </si>
  <si>
    <t>Rose Ringed Parakeet Adult with no primaries, secondaries and rectrices, kept as pet</t>
  </si>
  <si>
    <t>Saavandurga</t>
  </si>
  <si>
    <t>Residents of a locality in Mumbai hit a stary female dog, as they believe she is "mad".</t>
  </si>
  <si>
    <t>Puppies separarted from their mother, put inside sacks and beaten. The accused also flung the animals from the first floor of a building. No action taken.</t>
  </si>
  <si>
    <t>Dog attacked with acid, skin badly burnt.Was rescued only after 3 days.</t>
  </si>
  <si>
    <t>A man theatens to kill pet dogs if not immediately abandoned by their owners, in Ambattur.</t>
  </si>
  <si>
    <t>Ayapakkam</t>
  </si>
  <si>
    <t>Shailendra Pharkya, the society secretary of Lodha Luxuria residential society, killed a 2 months old female puppy by purposely running his vehicle over her. The culprit was arrested, but was immediately released on bail by JMFC Thane Court.</t>
  </si>
  <si>
    <t>1 Juvenile and 1 Sub-adult Star Tortoise found in a park with some kids, captive</t>
  </si>
  <si>
    <t>Rose Ringed Parakeet Subadult. Clipped feathers (primaries and secondaries). Fortune teller.</t>
  </si>
  <si>
    <t>Adult plum Head Parakeet with Primaries, secondaries and rectrices clipped. Fortune teller.</t>
  </si>
  <si>
    <t>Puppy beaten brutally by a resident of a Lodha Paradise Olympia residential colony inorder to discourage people from feeding Streets.</t>
  </si>
  <si>
    <t>Puppy beaten brutally by a resident of a Lodha Paradise Olympia residential colony inorder to discourage people from feeding strays.</t>
  </si>
  <si>
    <t>Neighbour does not like others feeding Street dogs, throws stones at the dogs. AWO strictly warned her, explained PCA</t>
  </si>
  <si>
    <t>A man stabbed a dog in the head with a knife. The dog was attacked as he tried to protect a lady, at CST station in Mumbai, who the man was trying to attack.</t>
  </si>
  <si>
    <t>6-7 people bought a hen and were about to sacrifice her (Bali), rescued.</t>
  </si>
  <si>
    <t>Dogs were fed poison mixed in food. Only one out of the 5 dogs survived. Surviving dog rescued.</t>
  </si>
  <si>
    <t>Rose Ringed Parakeet Adult. Male. Confiscated from fortune tellers. All primary flight feathers and tail feathres clipped.</t>
  </si>
  <si>
    <t xml:space="preserve"> Two rabbits kept at pet sanctuary died due to starvation. They do not have proper arrangement for food like greens grass and also water. Many birds like Emus are dehydrated as they are kept in open in the heat</t>
  </si>
  <si>
    <t xml:space="preserve">Some residents of a colony tried to throw (relocate forcefully) puppies out of the colony, they were hurting the puppies. At night, one resident named Rekha Sharma threw a stick at the dog.
</t>
  </si>
  <si>
    <t>Small dogs picked up by their legs and thrown by a person into the garbage cans</t>
  </si>
  <si>
    <t>6 miliking cows attacked with industrial grade acid by some unidentified persons. FIR lodged in R2 Kodambakkam Police Station.</t>
  </si>
  <si>
    <t>Tiny puppy found crawling in the Streets, with little movement in hind legs. Possibly from being thrown out of a car or being kicked. Rescued</t>
  </si>
  <si>
    <t>Nestling</t>
  </si>
  <si>
    <t>Nestling. Ring to the left leg and a leash tied to it. Keel bone palpable. Right leg - crepitus at the hip joint.</t>
  </si>
  <si>
    <t>Dog attacked with acid, burning through fur and flesh, exposing her skull. Rescued and treated. The brave street dog has been nickname Bones because of the way the flesh-destroying acid exposed a huge area of her skull.
With such a huge hole open to the elements, Bones would have suffered a lingering death from infection if vets from a British-based charity had not come to the rescue.</t>
  </si>
  <si>
    <t>Minor seen raping a dog, FIR registered u/s 377</t>
  </si>
  <si>
    <t>CUPA LARRC cases</t>
  </si>
  <si>
    <t>Neighbours got angry at a dog barking, so chopped off his front leg in revenge. Scared owners shifted him to a shelter</t>
  </si>
  <si>
    <t>Palm Civet</t>
  </si>
  <si>
    <t>Juvenile Asian Palm Civet held captive for 1.5 months</t>
  </si>
  <si>
    <t>Dog named Pihu skinned alive, rescued.</t>
  </si>
  <si>
    <t>District administration beat Street bovines with sticks to remove them from the city before CM Vasundhara Raje’s visit on the occasion of Republic Day celebration. Municipal Corporation staff used sticks and ropes to catch the Street bovines and pushed them into a truck and shifted them to the cow shelter. Some of the bovines were severely injured in the process. Contractor of municipal corporation Ashok Kumar Jain said that, beating is necessary to catch the bovines for removing them from city.</t>
  </si>
  <si>
    <t>Bharatpur</t>
  </si>
  <si>
    <t>Pet dog beaten with broom handle, heard crying. When neighbours object, man tells them to mind their own business</t>
  </si>
  <si>
    <t>A cat, named Ginger, lost her eye as a result of on the hands of some unidentified persons.</t>
  </si>
  <si>
    <t>Man arrested for raping 3 cows. One was found dead in the morning, legs of three tield with rope. Booked u/s 295A, 429, 377 IPC, PCA. Accused had raped a calf two years ago. Locals susupect mental illness</t>
  </si>
  <si>
    <t>Vadodara</t>
  </si>
  <si>
    <t>Langur</t>
  </si>
  <si>
    <t>Eleven langurs brutally killed, presumably beaten with sticks and then splashed with an abrasive chemical, dumped at highway near Jaipur</t>
  </si>
  <si>
    <t>A man killed his pet with sharp-edge weapon.  Arrested after an FIR was lodged agaisnt the man by his father.</t>
  </si>
  <si>
    <t>Surajpur</t>
  </si>
  <si>
    <t>Socal Media</t>
  </si>
  <si>
    <t>Monkey beaten by a stick and turned blind. Accused arrested.</t>
  </si>
  <si>
    <t>Landlord keeps pet dogs chained from the very first day, hits with a stick when they bark. Built a hook in the wall for the same. When tenants object to the cruelty, he threatens to evict them</t>
  </si>
  <si>
    <t>12 cats fatally poisoned by housing society in Wakad, Pune. Awaiting post mortem report before filing FIR under IPC.</t>
  </si>
  <si>
    <t>Rose Ringed Parakeet Adult. Primaries clipped. Kept as a pet.</t>
  </si>
  <si>
    <t>Shelter Negligence led Cruelty</t>
  </si>
  <si>
    <t>37 cows died over a period of 2 weeks in a private shelter. Person running the shelter arrested.</t>
  </si>
  <si>
    <t>Rajadera</t>
  </si>
  <si>
    <t>Dog attacked by a boy with rod, rescued.</t>
  </si>
  <si>
    <t>Merry, a new born calf, abandoned by the owner and left to die on the side of the road, severely dehydrated and on the verge of dying, rescued</t>
  </si>
  <si>
    <t>Dog attacked with acid. Complaint filed</t>
  </si>
  <si>
    <t>A man named Selvam fed meat balls filled with explosives to community dogs. One dog found dead, other found with a damaged face died within minutes of being found. Arrested.</t>
  </si>
  <si>
    <t>Tiruchirappalli</t>
  </si>
  <si>
    <t>4 month old black female pup had a chain entangled around her neck, which was tight and strangled her, making it difficult for her to breathe, rescued</t>
  </si>
  <si>
    <t>Man kicks his pet dog, thrashes him with belt.</t>
  </si>
  <si>
    <t>Eagle</t>
  </si>
  <si>
    <t>Men catch birds (eagles, storks, etc), hold them up by beaks, wings while alive, for selfies, then kill them. Seems to be some kind of business. Posted several photos. Arrested</t>
  </si>
  <si>
    <t>Vadalur</t>
  </si>
  <si>
    <t>Two men tie a langur to a tree, beat it to death, continue thrashing its dead body for fun- while recording the whole incident. The two also hurled abuses at the animal, while hitting with stick and chappals. Case filed u/WPA. Bail denied 5 times, accused in judicial custody</t>
  </si>
  <si>
    <t xml:space="preserve">Washim </t>
  </si>
  <si>
    <t>Boiling water thrown on bull for wandering into a field when hungry. Sustained serious burns and a broken horn. Being treated</t>
  </si>
  <si>
    <t>Rose Ringed Parakeet Subadult. Flight poor. Rectrices damaged and soiled with faeces.</t>
  </si>
  <si>
    <t>Two men, including an ex-army man, shot dead a pit bull, booked under Section 429 IPC and Section 11 PCA</t>
  </si>
  <si>
    <t>Barnala</t>
  </si>
  <si>
    <t>Kitten rescued from a slum where he was being abused and beaten and sustained significant damage to his face. Recovered and put up for adoption</t>
  </si>
  <si>
    <t xml:space="preserve">Dog hit by some miscreants, badly injured.
</t>
  </si>
  <si>
    <t xml:space="preserve">Leopard Streets into village, kills woman. Villagers kill leopard in retalliation, chop into small pieces and eat meat </t>
  </si>
  <si>
    <t>Dibrugarh</t>
  </si>
  <si>
    <t>4 leopards, 2 tigers, pangolins and porcupines poached between December 2017 and March 2018, in collusion with park authorities, report reveals. Poachers arrested, no action yet towards park authorities</t>
  </si>
  <si>
    <t>Unidentified persons killed Street dog by mixing poison in their food. No action taken so far.</t>
  </si>
  <si>
    <t>Street dog hit badly by kabadiwala (recycler), rescued.</t>
  </si>
  <si>
    <t>Doberman thrown in water filled pit, found with broken legs in the rain without food or shelter for 2 days</t>
  </si>
  <si>
    <t>Dog tied and chained all his life escaped, found with deep maggot filled wounds on his neck where the collar cut into his neck. Rescued and being treated</t>
  </si>
  <si>
    <t>Rose Ringed Parakeet Sub adult. All primaries and few secondaries clipped. Rectrices damaged.</t>
  </si>
  <si>
    <t>A dog, named Neomec, attacked with boiling hot water. Rescued and treated.</t>
  </si>
  <si>
    <t>A dog, named Chomchom, attacked with acid. Rescued and treated.</t>
  </si>
  <si>
    <t>Man hits his dog almost everyday and also chokes him by wrapping a polythene bag around his face. Continues despite repeated warning from neighbours</t>
  </si>
  <si>
    <t>7 people tried to push off animals from a moving canter, booked under the PCA</t>
  </si>
  <si>
    <t>Bathinda</t>
  </si>
  <si>
    <t>Engineering student throws puppy off terrace for urinating on his clothes. Previously killed another puppy in the same manner for the same reason. Boasted about it to his friends on a whatsapp group. Case reigstered</t>
  </si>
  <si>
    <t>Vellore</t>
  </si>
  <si>
    <t>Dog tortured and killed because someone tried to take food away from her and was bitten. FIR filed</t>
  </si>
  <si>
    <t>Trichy</t>
  </si>
  <si>
    <t>Pet dog kept tied, starved, abused regularly, abandoned. Suffered mental trauma even after rescue</t>
  </si>
  <si>
    <t xml:space="preserve">An intoxicated person stoned down a kite (bird of prey) and beheaded it on a public road, complaint filed
</t>
  </si>
  <si>
    <t>A man killed a dog, in a society compound in Thane, by deliberately running his car over the animal. FIR lodged, vehicle seized and the culprit is booked.</t>
  </si>
  <si>
    <t>Rose Ringed Parakeet No primaries and rectrices. Loss of coverts on the body also (Neck, head, thorax and mantle).</t>
  </si>
  <si>
    <t>Rose Ringed Parakeet Adult. Twisted upper beak. Fortune teller.</t>
  </si>
  <si>
    <t>A pet dog named Max was poisoned by the relatives of his owner's family, in Tambaram.</t>
  </si>
  <si>
    <t>"Bestiality - the unheard rape" Documentary</t>
  </si>
  <si>
    <t xml:space="preserve">19 year old boy caught abusing a female Street dog in a public toilet. FIR registered u/s 377. Accused granted bail by the sessions court. Past history of sexual abuse against dogs also discovered after speaking to locals. Chargesheet filed. </t>
  </si>
  <si>
    <t>Dog catchers choke dog to death. Municipality terminated their employment, assured such practices will not be repeated. Police complaint filed</t>
  </si>
  <si>
    <t>2100kg of suspected dog meat seized at railway station. FIR lodged, investigation ongoing</t>
  </si>
  <si>
    <t>Month old puppy tied up in a bag and thrown in the middle of a busy road. Rescued</t>
  </si>
  <si>
    <t>Metal wire tied around dog's neck, causing a deep wound and restricting breath. Rescued and treated</t>
  </si>
  <si>
    <t>Rose Ringed Parakeet Adult. Pet. Primaries clipped.</t>
  </si>
  <si>
    <t>Dog assaulted, attacked with something hot (like hot oil or boiling hot water), rescued</t>
  </si>
  <si>
    <t>Dogs brought in for sterilization in Chennai Corporation Base Bridge Pound "ABC Centre", were covered in blood with stitches open.</t>
  </si>
  <si>
    <t>Carcass of calf, wrapped inside a gunny bag, seized by Police. FIR lodged under section 11 of PCA Act and section 428 of IPC.Three men, hailing from Manipur, arrested for the alleged killing of the animal.</t>
  </si>
  <si>
    <t>Shelter negligence led cruelty</t>
  </si>
  <si>
    <t>Mass starvation of cows took place in three different cow shelters. 200 deaths were reported by the villagers. No source of food or fodder. Carcasses of cows found in the 'Gaushalas'.</t>
  </si>
  <si>
    <t>A female dog, named Sweety, was attacked by some unidentified persons. The dog had a serioulsy injured tail, beeding profusely. Rescued and treated.</t>
  </si>
  <si>
    <t>Rose Ringed Parakeet Subadult. No rectrices. Plumage unkept. Keel bone prominent.</t>
  </si>
  <si>
    <t>Two stray dogs with their feet and mouth tied were found dead at the campus of Malaviya National Institute of Technology in Jaipur.  While the college authorities tried to justify the act, saying the dogs were rabid, animal lovers in town are outraged and say it's a violation of euthanasia policy for animals. An FIR has been registered against the college for cruelty against animals.</t>
  </si>
  <si>
    <t>Street dog beaten on head with iron rod, sustained skull fractures. In critical state. Case registered u/ s 429 IPC, PCA</t>
  </si>
  <si>
    <t xml:space="preserve">Watchman caught raping a dog in his cabin for three nights. Discovered only when CCTV footage was checked. FIR filed u/s 377 and accused remained in custody for two months, till the chargesheet was filed. </t>
  </si>
  <si>
    <t>2 dogs beaten and tourtured by a man as they entered a residential building, in Vasant Vihar -Pongam building, for taking shelter during rains. The accused has been identified as a habitual offender.</t>
  </si>
  <si>
    <t>Dog kept outside all day, not walked. Beaten with a stick when he barks</t>
  </si>
  <si>
    <t>A taxi driver rapes puppy which bleeds to death. Case u/s 429 lodged.</t>
  </si>
  <si>
    <t>15 dogs were poisoned and burnt by a man who mixed poison in a calf's carcass to kill all the Street dogs in the locality. Perpetrator owns hens and stalk, and was afraid the dogs would destroy his farm. This was his second such offense, but being politically connected, police were hesitant to initiate action. FIR filed u/s 428, 429 IPC, s 11(1)(l) PCA against unknown persons</t>
  </si>
  <si>
    <t>Dog attacked and cut with some weapon, deep gash on her side. Rescued in time and treated</t>
  </si>
  <si>
    <t>CCTV camera catches five men bludgeon a Street dog to death. FIR 428 and 11. Stole the carcass, and claimed to have eaten them.</t>
  </si>
  <si>
    <t>A Street dog with burnt skin. The animal was allegedly attacked by some unidentified person with boiling hot water. Rescued.</t>
  </si>
  <si>
    <t>Someone beat a calf with a blunt object, pulled both ears and chopped it off with blunt knife. The calf also had several scratches on its body. Rescued and treated, but remains critical</t>
  </si>
  <si>
    <t>Mama Street cow (Bee) and her baby (Honey) rescued- Bee had been struck a blow by a sharp object, Honey was victim og cruel neglect, had outgrown a rope tied and forgotten around his neck, maybe by a cruel owner</t>
  </si>
  <si>
    <t>Muslim man caught raping calf, leading to communal tensions. Arrested, booked u/s 377</t>
  </si>
  <si>
    <t>Satpuli</t>
  </si>
  <si>
    <t>Rose Ringed Parakeet Adult. Fortune teller. Primaries growing. No rectrices. Plumage unkept.</t>
  </si>
  <si>
    <t>Mysore</t>
  </si>
  <si>
    <t>Puppy</t>
  </si>
  <si>
    <t>Puppy defended a hospital from burglars chasing them away, was attacked in the process. Paw found to be swollen and bleeding. Treated</t>
  </si>
  <si>
    <t>Wild elephant entered factory premises, chased and attacked with earthmover, sustained fatal injuries, dies. Criminal case filed against factory, driver arrested</t>
  </si>
  <si>
    <t>Munnar</t>
  </si>
  <si>
    <t>Fledgling</t>
  </si>
  <si>
    <t>Fledgling with rectrices damaged and soiled. Legs missing from mid tarsus</t>
  </si>
  <si>
    <t>A police officer strangled a dog by standing on it for one hour. There is no provision to arrest the ex-army man under Prevention of Cruelty to Animals Act, hence Noida police apprehended him and served him a notice. Dog killed by traffic marshal on the pretext of "public interest" as the animal was "mad" (rabid) and had beaten 5/6 people. The marshal stamped on the dog's throat till it died. Culprit arrested and given bail on the same day. Police shared videos justifying the killing.</t>
  </si>
  <si>
    <t>2 Rose Ringed Parakeet Adult. Fortune teller. Absence of primaries and a few secondaries.</t>
  </si>
  <si>
    <t>Truck carrying 18 buffalo calves seized, were in transit allegedly for illegal slaughter</t>
  </si>
  <si>
    <t>Aligarh</t>
  </si>
  <si>
    <t>A Street dog, living in a community alerted the houses for the thieves that tried to enter a neighborhood, the thieves got startled and clubbed the dog on the head, resulting in a horrible injury, one eye popped out. Rescued</t>
  </si>
  <si>
    <t xml:space="preserve">Blind bull struck in back with knife. Rescued and given medical attention </t>
  </si>
  <si>
    <t>Dog's body found outside house, with crushed head. Businessman suspected of crushing him to death with a car, he had complained about the dog earlier. Case registered u/PCA, investigation ongoing</t>
  </si>
  <si>
    <t>Street dog attacked with scissors, condition delicate, rescued</t>
  </si>
  <si>
    <t>A 2 years old cow was abandoned by her owner as her leg was broken. The owner also threatened to sell the animal to the butcher.</t>
  </si>
  <si>
    <t>Lame kitten brutally smashed against wall, fatally beaten to death with bamboo stick by office peon. Captured on CCTV. FIR regisitered u/s 409 IPC, PCA, Maharastra Police Act. Employers refuse to fire peon until court conviction, provide him legal aid</t>
  </si>
  <si>
    <t>Python</t>
  </si>
  <si>
    <t xml:space="preserve">Python killed and burned. Case ongoing filed by forest dept </t>
  </si>
  <si>
    <t>Two people arrested for attacking 30 dogs with sticks, machete and acid, at a private shelter. The third attacker is still at large. The attack resulted in death of one dog, 19 missing, probably killed, and 11 with grievous injuries. FIR filed.</t>
  </si>
  <si>
    <t>Acid thrown on bull resulting in painful wound, rescued</t>
  </si>
  <si>
    <t>Rose Ringed Parakeet Fledgling. Was taken care of by the informer since a month. Soiled feathers, indicating being in captivity</t>
  </si>
  <si>
    <t>Kitten</t>
  </si>
  <si>
    <t>Malnourished kitten thrown inside school campus</t>
  </si>
  <si>
    <t>Tirupur</t>
  </si>
  <si>
    <t>Nestling. Primaries of both wings missing. Abrasions at wing tips of both wings, indicating being in captivity</t>
  </si>
  <si>
    <t>Honey, a Street dog, attacked and severely burned with acid. All the layers of her skin down to the muscle were dissolved due to 3rd degree chemical burn. Half the skin on her back burned. Rescued.</t>
  </si>
  <si>
    <t>Army officer beats 3 Street dogs to death and beat two other severly with an iron rod. Army inquiry instituted.</t>
  </si>
  <si>
    <t>A bull attacked with acid. Rescued and being treated.</t>
  </si>
  <si>
    <t>Bahadurgarh</t>
  </si>
  <si>
    <t>Man stole a pet, killed and served meat to friends. Case made, no arrests.</t>
  </si>
  <si>
    <t xml:space="preserve">Cats being looked after by resident. Neighbour object to this and threaten to poison the cats. AWO visited and counselled the neighbour, explain PCA, give strict warning </t>
  </si>
  <si>
    <t>Indian Pond Terrrapin (turtle)</t>
  </si>
  <si>
    <t>4 Subadult Indian Pond Terrapin from a temple. Moss on the carapace</t>
  </si>
  <si>
    <t>Video surfaced of a monitor lizard being forced off a palm tree, with its hands and legs being tied while people are beating it</t>
  </si>
  <si>
    <t>Neighbourhood fight over woman feeding 4 Street dogs. Neighbours angry because the dogs bark and howl at night and disturb their sleep. Threaten to poison the dogs. AWO spoke to him, he is aware of the law and that this is cruelty</t>
  </si>
  <si>
    <t>Man stole a pet dog, killed and served meat to friends. Case made, no arrests.</t>
  </si>
  <si>
    <t>Wild Pig</t>
  </si>
  <si>
    <t>2 arrested for manufacture/possession of 290 bombs. Claimed bombs were not intended for humans, but to kill wild pigs, deer, etc. Sessions court rejected bail on grounds of intending cruelty to wildlife, a crime u/WPA</t>
  </si>
  <si>
    <t>Dog named Chotu beaten beyond imagination, with bamboo for running after a bike, was barely breathing, bleeding from nose and mouth, in coma for 3 months, underwent 2 brain surgeries, lost coordination for over 6 months, rescued.</t>
  </si>
  <si>
    <t>Bull attacked with concentrated acid to stop him from grazing and destroying crops in agricultural field. Sustained severe burns. Rescued by NGO, no FIR registered. Throwing acid on bulls has become a common practice for farmers, with at least 6 such recent incidents</t>
  </si>
  <si>
    <t>3 men caught transporting buffaloes for slaugter illegally, accused of being cruel to them</t>
  </si>
  <si>
    <t>Man caught raping an animal on a farm. Farm owners had seen him on CCTV commiting the same act a few days earlier. Caught him on his second visit. FIR lodged u/s 377. Remanded to judicial custody</t>
  </si>
  <si>
    <t>Naharpur Rupa</t>
  </si>
  <si>
    <t>Video of dog captured, tied with a rope leash and beaten to death with a thick wooden stick. Complaint filed</t>
  </si>
  <si>
    <t>Farmers from Tamil Nadu protesting in Delhi held pieces of dead snakes in their mouth. A group of these farmers began these protests in Trichy, where they held dead rats in their mouths. They arranged for the snakes, cut it into pieces and distributed them.</t>
  </si>
  <si>
    <t>UP government official shoots dog for barking at him while out on an evening walk with his pet dog. Booked u/s429 IPC, PCA, arrested and licensed pistol has been seized</t>
  </si>
  <si>
    <t>Man forced wife to have sex with a dog, threatened her and the children if she didn't comply. She filed a complaint, man arrested u/s 498A, 504, 506, 377, remanded to judicial custody</t>
  </si>
  <si>
    <t>27 year old arrested for raping a calf, witnessed by calf's owner who lodged the complaint. Case booked u/s 377 IPC, PCA. Calf's health deteriorating</t>
  </si>
  <si>
    <t>AK 47 used to kill a lactating mother bear who had killed 3 men</t>
  </si>
  <si>
    <t>Staff of a security agency arrested on charges of animal cruelty for tying a dog to a jeep and dragging it</t>
  </si>
  <si>
    <t>Abandoned Animals</t>
  </si>
  <si>
    <t>Family has decided to put their otherwise healthy 13-year-old dog down because he has a skin infection. Owners willing to give the dog for adoption too</t>
  </si>
  <si>
    <t>Kochi</t>
  </si>
  <si>
    <t>Rose Ringed Parakeet Brownish discolouration of the body coverts (Red oxide?/Paint?). No rectrices and primaries</t>
  </si>
  <si>
    <t>Indian Pond Terrapin Subadult kept as a pet for 4 years. Bridge curled upwards, moss on the carapace (marginal scales)</t>
  </si>
  <si>
    <t>Adult female monkey kept tied to a tree and sexually abused by a watchman. Monkey taken into custody of Forest dept. They refuse to file an FIR till medical results come back</t>
  </si>
  <si>
    <t>Rose Ringed Parakeet Adult. Fortune teller. No primaries and secondaries (of both wings) and rectrices.</t>
  </si>
  <si>
    <t>Delhi Technical University guard brutally beat dog to death, hit dog's head with stick, case registered under IPC and PCA. Guard arrested.</t>
  </si>
  <si>
    <t>Dog's leg tied badly, developed wounds and may require amputation</t>
  </si>
  <si>
    <t xml:space="preserve">Youth first slit the stomach of Street dogs and later stitched it up with surgical equipment. The wound was then covered with bandage wrapped all around the lower back of the Street dog. Many dogs died after a few days of pain. "A locality in Punjab’s Amritsar is gripped with an uncanny situation of several wailing stray dogs on streets bandaged all over the stomach. It’s become a common sight in the last two months as many stray dogs being left to die. It is now learnt that all this was the handiwork of a youth who would first slit the stomach of stray dogs and later stitch it up with surgical equipment. The wound was then covered with bandage wrapped all around the lower back of the stray dog." </t>
  </si>
  <si>
    <t>3 month old puppy beaten, sustained injury in her leg. Rescued and treated</t>
  </si>
  <si>
    <t>Resident who takes care of 4 puppies in building premises reported two other residents beat and torture them. Burnt bedding found with one puppy dead from injuries. Complaint registered against the two residents u/PCA, IPC. Investigation begun</t>
  </si>
  <si>
    <t>Street dog beaten to death. Suffered internal bleeding and fracture of two limbs. FIR registered u/s 11(1) PCA, s 429 IPC</t>
  </si>
  <si>
    <t>Puppy beaten to death with bricks and sticks by a man named Rajeev Choudhary. FIR lodged under section 11 of PCA Act and for violation of IPC 429.</t>
  </si>
  <si>
    <t>Puppy thrown off terrace, died on the spot. FIR filed against unknown persons</t>
  </si>
  <si>
    <t>Thin cord tied around neck as a puppy, cut into her as she grew. Deep neck wounds and constricted breathing</t>
  </si>
  <si>
    <t>Street dog beaten to death. FIR u/s 11(1) PCA, s 429 IPC</t>
  </si>
  <si>
    <t>Society residents abusing dogs and plan to kill them. Fear of them poisoning the dogs</t>
  </si>
  <si>
    <t>Bokaro</t>
  </si>
  <si>
    <t>2 Rose Ringed Parakeets sezied from fortune teller. Clipped Feathers</t>
  </si>
  <si>
    <t>Locals beat puppies and chased them till they ran into the jungle and did not return</t>
  </si>
  <si>
    <t>A dog named Golu, which was suffering from epilepsy and was abandoned by its owners, was found covered in blood near her home. The dog was attacked by acid. Rescued and treated.</t>
  </si>
  <si>
    <t>Rose Ringed Parakeet Adult. Fortune teller. Feathers damaged.</t>
  </si>
  <si>
    <t>Dog spotted with large wounds on neck and back, possibly caused by acid. Wound filled with maggots</t>
  </si>
  <si>
    <t>Rose Ringed Parakeet Adult seized from fortune Teller with feathers clipped (almost all feathers)</t>
  </si>
  <si>
    <t>A newborn male calf, named Dil, only few minutes old and still wet with afterbirth, abandoned and dumped on the road to die by dairy farmer, because he was male and to avoid feeding him his mother's milk. Rescued</t>
  </si>
  <si>
    <t>Two elephants (one calf and one adult) were attacked with flaming balls of tar and firecrackers by a frenzed mob in Jhargram district of West Bengal. The event came to light when a photograph of the incident, clicked by Biplab Hazra, won him the Sanctuary Wildlife Photography Award 2017. The calf somehow survived, as per the photographer.</t>
  </si>
  <si>
    <t>Jhargram district</t>
  </si>
  <si>
    <t>Three people residing in a Colony tried to relocate puppies and throw them out of the colony. They also picked up a stick and threw it at a puppy.</t>
  </si>
  <si>
    <t>Over the year 6 pups have been killed within Lafiyalu UP school, under the initiative of a science teacher. Students were made to poison 4, while the other 2 were brutally beaten to death. All 6 pups belonged to two mother dogs who had been living within the school peacefully for the past 10 years. When faced with resistance from another teacher (who was later fired), he put out posters announcing the date for killing the two dogs. School management did not care. Complaints filed, education dept to shut down school (for non compliance with regulations)</t>
  </si>
  <si>
    <t>Chertala</t>
  </si>
  <si>
    <t>Hands and mouths of 6 puppies tied with iron wire, puppies packed in a plastic sack and dumped somewhere, rescued after 5 hours</t>
  </si>
  <si>
    <t>Cat stabbed with a spear, rescued and healing. "This cat was attacked using a spear which is a majorly common form of weaponry used for hunting. This cat did not have the strength to respond when we reached out to him. It was disheartening to see him in such a traumatised condition. Mr. Arjun picked him up carefully and he was brought to the shelter. Dr. Raja's expertise came to the rescue. He used a knapp saw to cut the end of the sphere which has a hook in the end. The spear was well cleaned with surgical spirit and very carefully removed. He is now at the Blue Cross shelter and slowly healing.For many of us who thought,"Who would do such a thing like this?". The answer is."Every one of us". We may not be responsible for killing animals, but we are definitely reasons why animals are killed."</t>
  </si>
  <si>
    <t>Pet Abandonment, Neglect and Confinement</t>
  </si>
  <si>
    <t>Dog beaten and abandoned</t>
  </si>
  <si>
    <t>Villagers killed three tigers and three leopards in Kanha-Pench jungle corridor, after 4 tantriks claimed to have supernatural powers and promised to double money in bank accounts by performing witchcraft on ATM cards, but claimed to require body parts of tigers and leopards. 
33 members of a poaching racket scorched the jungles for wild cats, electrocuting them, cutting off the vital parts and burying the carcass. Two witch doctors confessed to have lured villagers for killing tigers for their paws, saying they could cast magic spells to "rain money in new currency". 7 suspects arrested, including 4 tantriks</t>
  </si>
  <si>
    <t>The residents of a colony in Thane instruct their gaurds to hit dogs and chase them away. The gaurds hit the animals with rods, and the society pelted them with stones.</t>
  </si>
  <si>
    <t>Man severed two legs of a puppy with a hacksaw after the dog give him a minor scratch. He grabbed the puppy and tied it up before cutting its legs with a blade (a front and a back leg). As he was unable to cut through the bone, he arranged a hacksaw. While he was chopping the legs, Pramod was enjoying the whole process.</t>
  </si>
  <si>
    <t xml:space="preserve">Leopard stoned, tortured and burnt alive by mob. The leopard had Streeted into human settlement, in search of food and water. Villagers pelted stones at the leopard, who ran helter-skelter to escape the rain of stones, overpowered by villagers who tied him up and beat him badly. They threw the unconscious animal outside the village. In the morning, the villagers again went out looking for the animal and tortured it more, took out a procession of the animal tied upside down to a stick and then burnt him alive. Remains cleared, no trace of the burnt body.
</t>
  </si>
  <si>
    <t>6 cases of dog poisoning in one week</t>
  </si>
  <si>
    <t>A drunk man tied up a Street puppy and hacked its hind leg. Arrested.</t>
  </si>
  <si>
    <t>A dog named Honey was attacked with acid by some unidentified persons. The dog survived serious burns around her hindlimbs.Rescued and treated.</t>
  </si>
  <si>
    <t>A leopard was killed by around 1500 villagers as he had, allegedly, mauled 9 people.</t>
  </si>
  <si>
    <t>Ben, a Street dog, nearly cut in two by a wire embedded in is flesh. The wire was tied so tight and for so long that in some places, muscle had grown over the wire. Suffered from intense pain. Rescued</t>
  </si>
  <si>
    <t xml:space="preserve">Leopard entered village, injured one person. Crowd forms with people carrying sticks. Leopard attacks and injures 7 others while trying to escape. Beaten to death by crowd of 1500 people. Body sent for postmortem </t>
  </si>
  <si>
    <t>Mundawar</t>
  </si>
  <si>
    <t>Deep gash sliced through Muriel's (Street dog) forehead, leading to bleeding and unconsciousness. It could hardly lift its head. Possibly someone had struck her hard on the head. Rescued</t>
  </si>
  <si>
    <t>Medical college students brutally kill female monkey after she entered their hostel room. They tied up the monkey’s hands, legs and neck with a phone wire, took her to the hostel terrace, tied her up and thrashed her brutally in front of 30 other students. They also stabbed her back with a sharp object, and raped her with an iron rod. Body was burnt and buried behind hostel. FIR filed u/s 429 IPC, WPA, taken in for questioning. Students suspended from college</t>
  </si>
  <si>
    <t>Acid attack on Street dog by unknown assailant. Sustained burns around neck. Rescued</t>
  </si>
  <si>
    <t>Two barn owls, with vermillion marks on their heads, were abandoned by their owners, who allededly kept them in a cage for worship and related purposes.</t>
  </si>
  <si>
    <t>5 men tie nylon rope to Street dog's neck, tie it to bike, drag him for 2km. They first attacked the dog with sticks and beat him unconscious. Complaint booked against unknown persons u/PCA, Bombay Police Act</t>
  </si>
  <si>
    <t>A sizzing bomb/ burning firecracker put inside the mouth of pregrnant dog, by someone she knew. The explosion damaged her eyes, tounge, throat and paralysed her jaws. She died within a few days along with unborn puppies in her womb.</t>
  </si>
  <si>
    <t>2 dogs rescued from a man in Madanrting who was going to the animals for meat. The culprit has the history of killing upto 10 dogs a week. FIR lodged under Section 429 of IPC, 1860, and Section 11(1)(a), (d), (e), and (l) of PCA Act, 1960.</t>
  </si>
  <si>
    <t>3 subadult parakeets kept as pets since the last 4 months. A few feathers clipped</t>
  </si>
  <si>
    <t>27 dogs beaten to death by angry mob after man dies from Street dog attack at his residence. FIR registered against identified suspects, but residents formed human shield around accused to stop arrest, threaten protests</t>
  </si>
  <si>
    <t>Thiruvananthapuram</t>
  </si>
  <si>
    <t xml:space="preserve">Unknown man threw boiling water at a Street dog. Also used a hot instrument to subject the dog to further burns. Critical condition, at NGO. Booked u/s 429 IPC, PCA, Bombay Police Act </t>
  </si>
  <si>
    <t>Puppy's torso found in slum, decapitated with no limbs. Growing pattern of similar cases where people tie the dog's limbs with metal wires until they fall off, to drive away bad luck from their homes. Body could not be located later to file FIR</t>
  </si>
  <si>
    <t>Two persons threw boiling water on a Street dog causing serious burn injuries to the animal. FIR registered at Swargate Police Station.</t>
  </si>
  <si>
    <t>A man killed and then raped the carcass of a pregnant dog. Case registered u/s 377, 429</t>
  </si>
  <si>
    <t>Woman woke up to find her six-month-old puppy dead, with paw broken, eyes bulged out and stomach bloated. Result of human-Streets conflict. People had threatened her dogs earlier, and entered the compund to kill them. Despite complaints, this incident occured. Complaint filed with police and Chief Minister.</t>
  </si>
  <si>
    <t>Malappuram</t>
  </si>
  <si>
    <t>Locals come into woman's house to attack her pets, police complaint filed but no action taken. Some people killed a puppy and kept in front of her house the next day</t>
  </si>
  <si>
    <t>Malapuram</t>
  </si>
  <si>
    <t>A man, named Saurabh Dukhande, ran his vehicle over a sleeping dog for apparently urinating on the vehicle. The animal is critically injured.</t>
  </si>
  <si>
    <t>Rose Ringed Parakeet seized from fortune teller. No primaries and secondaries</t>
  </si>
  <si>
    <t>Pregnant cow hacked with axe for wandering into a garden searching for food</t>
  </si>
  <si>
    <t>Pig attacked by 6 dogs while being cornered to be taken for slaughter. Escaped and rescued, but lost a ear</t>
  </si>
  <si>
    <t>Three men beat up, thrashed a pregnant dog, stabbed its eyes (making it blind) and hung it from a tree. The incident happened in the outskirt of Mohali at Raipur Kalan Village near Sohana. The names of the accused are Dassa, Harmeet Singh, Makhan Singh.</t>
  </si>
  <si>
    <t>Bird</t>
  </si>
  <si>
    <t>Armed hunters from Aizawal killed hundreds of birds in a day.</t>
  </si>
  <si>
    <t>Kamrang</t>
  </si>
  <si>
    <t>Piglet rescued from the Streets in a wounded, dehydrated, starving condition, with 50 maggots in one eye. Rescued and treated, but did not survive. Domestic pigs are left to wander on their own, and are caught when it's time for slaughter</t>
  </si>
  <si>
    <t>Four men men tied a Street dog to a tree, hanged it upside down and thrashed it mercilessly. The police booked a case against four people and arrested three of them.</t>
  </si>
  <si>
    <t>Rose Ringed Parakeet seized from fortune teller. A few feathers damaged</t>
  </si>
  <si>
    <t xml:space="preserve">Video of man beating dog to death surfaces. Man tracked down, arrested, in custody. FIR registered u/s 428, 278 IPC, PCA </t>
  </si>
  <si>
    <t xml:space="preserve">Tirupur </t>
  </si>
  <si>
    <t>Puppy put in a gunny bag and thrown out of a rickshaw. Driver apprehended and case registered against him. Puppy rescued in a very weak condition</t>
  </si>
  <si>
    <t xml:space="preserve">3 dogs fatally shot by unknown assailant. FIR registered against unidentified persons u/s 429 IPC. Police suspect nearby farm owner who used to chase the dogs from the farm. </t>
  </si>
  <si>
    <t>NCP MP Vandana Chavan inflicted injuries and mainimg two cats of a neigbhbour with iron rods. She also put political pressur eon him to get rid of the cats</t>
  </si>
  <si>
    <t>Street dog killed by women</t>
  </si>
  <si>
    <t>A cow was tied to a tractor and dragged, her horns broken and left to die for the reason that the animal hit a bike and the biker got injured.The biker called two other men and a tractor, tied the animal behind it and dragged it till it became unconscious. The cow was taken to a government veterinary hospital but died after three days. Case filed under IPC and PCA against two men - Dharmu, who drove the tractor and Mukesh Meena.</t>
  </si>
  <si>
    <t>Rewari</t>
  </si>
  <si>
    <t>A male calf hit between eyes using hammer and then abandoned on streets to die. Common practice to incapacitate the animal and then auction for slaughter</t>
  </si>
  <si>
    <t>A male calf hit between eyes using hammer and then abandoned on Streets to die. "Pranay Dutta da tells me this is not a plain accident case. Someone had hit it between the eyes with a hammer. It staggered and then met with accident. This he tells me is the usual practice these days to incapacitate stray cows, render them useless and then conduct roadside auction to take it away for slaughter. The passing public think that the cow or bull is being rescued. They do it with such kindness. Sonata Foundation has been continuously battling against this monstrosity."</t>
  </si>
  <si>
    <t>7-year-old dog was killed after man named Ketan Patel threw acid on it, who disliked the dog and often threatened to kill it either using acid or a vehicle. On July 28, he came with stock of acid and threw it on the sleeping dog, which suffered 50 per cent burns and succumbed to injuries.</t>
  </si>
  <si>
    <t>Street dog attacked with acid, resulting in melted skin infested with maggots. Rescued</t>
  </si>
  <si>
    <t xml:space="preserve">Cat locked in room, died </t>
  </si>
  <si>
    <t>3 dogs poisoned, found to be crying in pain. FIR registered, postmortem ordered</t>
  </si>
  <si>
    <t xml:space="preserve"> Acid thrown on pregnant dog's face, succumbed to injuries. FIR registered, postmortem ordered </t>
  </si>
  <si>
    <t>Three community dogs were poisoned by some identified persons. One passed away. FIR lodged.</t>
  </si>
  <si>
    <t>Mohit Kumar, 10, has a strange penchant for drinking dog milk right from the breast of the animal and apparently, all the bitches in the colony are now accustomed enough to him to let him suck on their teat. Mohit’s strange obsession started when he accidentally began to suckle on a bitch when he was 4 and since then, he has been doing so. Once, the boy was bitten by a dog of another colony when he tried to drink off her and had to be taken to the hospital.
However, that hasn’t stopped Mohit from doing what he does and even after imposing restrictions on him, he still finds a way to the bitches every now and then.</t>
  </si>
  <si>
    <t>Manaitand</t>
  </si>
  <si>
    <t>A community dog stabbed on the \head with a sharp object. Rescued given first aid. FIR lodged.</t>
  </si>
  <si>
    <t>10 year old boy forcefully breastfeeds from Street dogs, despite their evident pain. Been going on for the past 6 years. Adults view it as an eccentricity they cannot control</t>
  </si>
  <si>
    <t>Dhanbad</t>
  </si>
  <si>
    <t>Elephant carcass found with three bullets on pepper plantation. Forest officials investigating whether this is in retaliation to crop raiding by elephants</t>
  </si>
  <si>
    <t>Wayanad</t>
  </si>
  <si>
    <t>Metal wire tied to dog's hind leg, as she grew the wire cut into the leg right till the bone. Leg had to be amputated</t>
  </si>
  <si>
    <t>A dog attacked with acid by a group of children.</t>
  </si>
  <si>
    <t>Sahadra, Delhi</t>
  </si>
  <si>
    <t>Rose Ringed Parakeet seized from fortune teller</t>
  </si>
  <si>
    <t>Boys set three puppies on fire after tying them together and covering them with hay, dry grass and twigs. The video of the incident making rounds on social media. 8 boys arrested and presented before Juvenile Justice Board. Case registered under IPC Section 429 and relevant sections of PCA Act.</t>
  </si>
  <si>
    <t>Two medical students had thrown a dog from a terrace. Fined 2 lakh each.</t>
  </si>
  <si>
    <t>Five people convicted of animal cruelty, fined and sentenced to 3 years imprisonment- were driving truck, during checking, recovered 16 live animals and a dead buffalo</t>
  </si>
  <si>
    <t>Baghpat</t>
  </si>
  <si>
    <t>Video shows dogs packed in sacks with their limbs and mouths tied.The animlas were not given food and water during transport and were eventually clubbed to death.</t>
  </si>
  <si>
    <t>Nagaland</t>
  </si>
  <si>
    <t>Kohima and Dimapur</t>
  </si>
  <si>
    <t>Nancy, a dog, rescued with critically advanced edema from plastic string tied around her neck that was cutting into the muscles of her neck and slowlly choking her. The wound wrapped completely around her neck, there was swelling.</t>
  </si>
  <si>
    <t>Rose Ringed Parakeet seized from fortune teller. Feathers damaged, kept in captivity</t>
  </si>
  <si>
    <t>Male leopard beaten to death by villagers, the animal in search for prey may have entered in the village. The villagers attacked the leopard with sticks and sharp-edged objects and killed it. Inquiry ordered by forest department against villagers who attacked the leopard and killed it.</t>
  </si>
  <si>
    <t>Botad</t>
  </si>
  <si>
    <t>A drunk businessman Vikas Maheshwari (55) first rammed his speeding car into a dog and then crushing it. The driver was drunk and was driving very rash. He first hit the dog’s face and after it started crying, the man ran over it, killing it on the spot. He did not even care to stop and after crushing him mercilessly, he sped off. He was arrested and granted bail.</t>
  </si>
  <si>
    <t>Ameerul Islam accused in Jisha murder case, found to have sexually abused animals (dogs and goats) as well as mutilate them, and kill them after. Case booked u/s 377 IPC for rape of a goat, which was caught on video</t>
  </si>
  <si>
    <t>Perumbavoor</t>
  </si>
  <si>
    <t>Resident animals database</t>
  </si>
  <si>
    <t xml:space="preserve">Adopted puppy kept tied 24/7, rarely fed, beaten often. Rescued in a malnourished condition, with mange, and aggressive behaviour. </t>
  </si>
  <si>
    <t>The front legs of a dog are tied and it is beaten with shoes, etc.</t>
  </si>
  <si>
    <t xml:space="preserve">2 dogs brought to shelter with third degree acid burns. One died from the severity of wounds, the other recovered and is up for adoption </t>
  </si>
  <si>
    <t xml:space="preserve">Camels seized, handlers arrested. Animal activists rescued 87 camels (including 10 calves), allegedly being smuggled out of Rajasthan and being transported for slaughter to Hyderabad, by being made to walk all the way to Bantawaram in Ranga Reddy district by handlers, who were from Madhya Pradesh. Around 20 animals were injured. Those apprehended were owners as well as hawkers who purchased camels for a low price to sell them for at least Rs. 20,000.
</t>
  </si>
  <si>
    <t>------</t>
  </si>
  <si>
    <t>A dog with three of her paws cut found at Agarpara Railway Station. The dog also had skull injuries and was bleeding profusley. Rescued and treated.</t>
  </si>
  <si>
    <t>Rose Ringed Parakeet Adult with all primaries and secondaries of both wings clipped</t>
  </si>
  <si>
    <t>Two dogs found with burn injuries, from acid or a strong chemical. Investigation ongoing, complaint filed u/PCA</t>
  </si>
  <si>
    <t>Tigress named Baghinnala dead and 2 cubs, poisoned.
Five other tigers died from the same Reserve during the year. Thirty tigers have already been killed by poachers in the first part of the year compared with 25 all of last year, according to the Wildlife Protection Society of India</t>
  </si>
  <si>
    <t>Pench Tiger Reserve</t>
  </si>
  <si>
    <t>Hyena</t>
  </si>
  <si>
    <t>Four-year-old female hyena, a protected species, brutally beaten up or thrashed by a mob. Its legs were tied to prevent it from escaping. The hyena is in a critical condition and is undergoing treatment at the NGO care centre. It suffered severe head trauma after it was repeatedly hit with bamboo sticks, which has resulted in the loss of its vision in both eyes. It is unable to eat by itself, the hyena is currently placed on IV drip and is receiving the necessary medical treatment for its injuries. "The Wildlife SOS rescue team responded to a distress call from the forest department about the hyena being thrashed by a mob in #Sarbathpur, Agra on Sunday evening.The animal had apparently wandered into a field in search of food and water, when it was spotted by a group of villagers. Fearing for their lives they decided to take matters into theirown hands and chased the hyena. They started beating the animal with bamboo sticks and tied its legs to prevent it from escaping. The forest department received word about this incident from the local police and immediately contacted Wildlife #SOS. A three-member rescue team along with aforest officials were deployed to the location. Upon arrival they found the animal in critical condition. Unable to eat by itself, the hyena is currently placed on IV drip and is receiving the necessary medicaltreatment for its injuries.Wildlife SOS co-founder Kartick Satyanarayan said, "It is truly heart-breaking to see a animal suffer due to the rash and violent action of villagers. There is an immediate need to educate the public, so that they are more tolerant towards wild animals. This will help mitigate human-wildlife conflicts."</t>
  </si>
  <si>
    <t>Deer</t>
  </si>
  <si>
    <t>Case registered against two villagers, Asharam and Dharampal, for killing a spotted deer which had come to a village to drink water from a pond. They killed the animal, took it to an abandoned house, skinned it and started to cook it. Carcass of the deer and utensils used for cooking the meat recovered.</t>
  </si>
  <si>
    <t>Bijnor</t>
  </si>
  <si>
    <t>Happy, a dog- blood streamed down her face, was losing consciousness, seemed to have been hit on the head. Rescued and recoverd.</t>
  </si>
  <si>
    <t xml:space="preserve">Pregnant buffalo caught grazing on farmer's crops. His two sons and he took the buffalo to their house and hacked her leg with a sickle. Taken to hospotal after police intervention, other deep cuts also found. Case registered u/s 429 IPC, arrested and released on bail. Previously, they broke a calf's leg for which another case was registered u/s 429 </t>
  </si>
  <si>
    <t>Madurai</t>
  </si>
  <si>
    <t>Group of villagers kill leopard for killing their cattle. Leopard hacked to pieces in front of the police and the forest department officials. Later the meat was cooked and consumed by the residents. No action taken against them</t>
  </si>
  <si>
    <t>Tipokhabi</t>
  </si>
  <si>
    <t>Leopard cub spotted at a school. A few youngsters got a rope around his neck and feet and dragged him. Leopard died when they were trying click selfies, they also put a stone in the animal’s mouth, which is likely to have caused the suffocation and eventual death. Authorities waiting for autopsy report to take legal action</t>
  </si>
  <si>
    <t>Kachhbali</t>
  </si>
  <si>
    <t>Rose Ringed Parakeet with no rectrices and a few primaries missing in both wings</t>
  </si>
  <si>
    <t>Dog rescued with face smashed in. Rescued and being treated, though there seems to be uncertainty about the present wellbeing of the dog</t>
  </si>
  <si>
    <t>Pet dog named Julie shot dead with airgun, nobody arrested</t>
  </si>
  <si>
    <t>Elephant corpse found with arrow heads, trunk cut off. Some local tribes are known to eat elephant meat, with the trunk supposed to be the tastiest part. There have been other instances where elephant bodies have been found without the snout, tail or stripped of all flesh and reduced to bones</t>
  </si>
  <si>
    <t>Nagaon</t>
  </si>
  <si>
    <t>Sloth bear</t>
  </si>
  <si>
    <t>Over a dozen armed policemen shot about 100 rounds of bullets at a sloth bear in a effort to kill it after the bear mauled a ranger. Probe ordered</t>
  </si>
  <si>
    <t>Gariyaband</t>
  </si>
  <si>
    <t>Puppies beaten with bamboo stick, deemed to be a nuisance despite their friendly nature</t>
  </si>
  <si>
    <t>Morjim</t>
  </si>
  <si>
    <t>Rose Ringed Parakeet Sub adult. Primaries and secondaries of both wings clipped. Kept as a pet</t>
  </si>
  <si>
    <t>Some boys attack a dog with acid for fun, rescued and treated</t>
  </si>
  <si>
    <t>Zachariah arrested for sexualy abusing a dog, caught on video. Arrested, still in prison 4 years later. Unsure if undertrial or convicted</t>
  </si>
  <si>
    <t>Kozhikode</t>
  </si>
  <si>
    <t xml:space="preserve">Wild Birds (Companion) </t>
  </si>
  <si>
    <t>Plum Headed Parakeet Adult. Kept as a pet. Primaries clipped</t>
  </si>
  <si>
    <t>Dog beaten for being a 'nuisance' dog, had ears cut at some point. Rescued</t>
  </si>
  <si>
    <t>Thivim</t>
  </si>
  <si>
    <t>Street dog savagely beaten up by a man, leading to blindness in one eye after eye popped out, and other grievous bodily injuries. Also tried to strangle the dog and lock him in a toilet. Accused is a police officer. FIR registered on second attempt</t>
  </si>
  <si>
    <t>Adult Black Kite. No secondaries, rectrices and a few primaries. Keel bone quite prominent</t>
  </si>
  <si>
    <t>Drunken man rapes cow, caught, arrested under 377.</t>
  </si>
  <si>
    <t>Betul</t>
  </si>
  <si>
    <t>A female puppy was thrown into a drum filled with molten butimen (tar) by the workers at a road construction site. The men did this as the dog was staring at them while they were having their meal. Rescued and treated.</t>
  </si>
  <si>
    <t>Man named Inderjit Singh shot at five Street dogs with his .12-bore rifle, but three of them managed to run away. Booked under IPC and the Arms Act. The accused was leaving his house. When he saw the Street dogs, he started shouting at them. Suddenly, the accused took out his rifle from his car and opened fire on the dogs. While three dogs ran away, the other two received bullet injuries. The two dogs were taken to a veterinary hospital, where they were declared dead.</t>
  </si>
  <si>
    <t>Patiala</t>
  </si>
  <si>
    <t>Woman killed 8 puppies to teach the mother a lesson for giving birth next to her house. Charged and arrested under PCA, fined Rs. 1000</t>
  </si>
  <si>
    <t>Two cats put in a thick sack, which was tied shut and thrown in a gutter. One died. Surviving cat rescued and adopted</t>
  </si>
  <si>
    <t>28 year old Engineering student stabs three dogs at Green Park Metro. Suffering from prolonged depression.</t>
  </si>
  <si>
    <t>2 Rose ringed Parakeets kept as pets. One had Feathers clipped</t>
  </si>
  <si>
    <t>Hare</t>
  </si>
  <si>
    <t xml:space="preserve">Adult Wild Hare kept as a pet. Body found to be in poor condition </t>
  </si>
  <si>
    <t>A bull was attacked with boiling hot water. The attack led to serious burns around the hindlimbs. The the animals was unable to stand, following the abuse.</t>
  </si>
  <si>
    <t>Rose ringed Parakeet Confiscated from a Fortune teller. No rectrices and Primaries.</t>
  </si>
  <si>
    <t>Pet dog kept tied 24/7, beaten when she barks</t>
  </si>
  <si>
    <t>Wire wrapped around and embedded in hind leg of dog, rescued</t>
  </si>
  <si>
    <t>Video of man raping dog widely shared on whatsapp. Complaint filed with police, reward offered, man identified and arrested</t>
  </si>
  <si>
    <t>Kunnamangalam</t>
  </si>
  <si>
    <t>A stary dog, named Lali, was attacked by theives whom she tried to stop. The theives attacked the animals with heavy rods and broke her left hindlimb.</t>
  </si>
  <si>
    <t>Female dog (a lactating mother with pup) hit by a person with an earthen pot, resulting in a spine injury and extreme pain to the dog</t>
  </si>
  <si>
    <t>2 Rose ringed Parakeets rescued from fortune teller, with damaged plumage</t>
  </si>
  <si>
    <t>Piece of wire wrapped tight like a tourniquet around a dog's leg. It had cut through the skin and hurt so bad that it couldn't bear any weight on that leg at all. Rescued</t>
  </si>
  <si>
    <t>Man hit puppies with a bambook stick</t>
  </si>
  <si>
    <t>A dog, named Chokri, was attacked by some unidentified persons, causing deep wounds in one of hindlimbs.</t>
  </si>
  <si>
    <t>A monkey was caught , its arms tied tightly behind its back, sat crouched over in a Mumbai residential colony trying with its teeth to untie the cord bound around its ankles. The wild monkey was caged after locals said it had been causing a nuisance for over six months, including stealing food and tearing up pillows that were on sale in one of the colony's shops.</t>
  </si>
  <si>
    <t>Monkey captured by tight rope by 'professional monkey catcher' as the crowd cheered. Will be released in countryside.</t>
  </si>
  <si>
    <t>Ox</t>
  </si>
  <si>
    <t>Fully grown Oxe, cruelly tied on the side of the bridge with a rope out there in the open with a rope leaving for him to die in pain. Rescued, safeguarded, provided first aid and bleeding stopped. The Oxe was safely put on a trailer and brought and admitted to Hospital.</t>
  </si>
  <si>
    <t>3 people killed a dog and dumped hsi bodies somewhere near Zirakpur-Patiala road. Police took action only after multiple pleas by residents of Kendriya Vihar Society. 4 accused arrested under PCA Act, but released on bail.</t>
  </si>
  <si>
    <t>Puppy brought to shelter with huge burn wounds on her back, infested with maggots. Recovered after a long treatment, remains largely fearful of humans</t>
  </si>
  <si>
    <t xml:space="preserve">Woman adopted female dog. Her son, an addict, raped the dog for 10 years, open secret in their slum. Refused to allow rescuers to take her, even smashed a stone on the dog's eye, blinding her in one eye, as revenge against the rescuers taking her away </t>
  </si>
  <si>
    <t>Sterilised and vaccinated dogs caught by municipality in a cruel manner. Activists trying to prevent this were attacked by a mob</t>
  </si>
  <si>
    <t>Pondicherry</t>
  </si>
  <si>
    <t>Some one put a rubber band on a dog's neck, probably when she was puppy, gradually she grew up and the rubber band cut into her neck, leaving deep wounds. Rescued and treated</t>
  </si>
  <si>
    <t>AWBI receives complaint that a Street pregnant dog was shot dead by an air gun. Body exhumed for autopsy two months after death, lab report awaited. FIR filed against suspect u/s 428, 429 IPC, s 2(1) PCA</t>
  </si>
  <si>
    <t>18 year old committed to Psychiatric dept in AIIMS for raping a calf.</t>
  </si>
  <si>
    <t>Rose Ringed Parakeet rescued from fortune Teller with damaged plumage</t>
  </si>
  <si>
    <t>75 dogs rescued from vehicle heading to Nagaland. Dogs were drugged, packed in sacks with their mouth tied, 23 died of suspected suffocation. Remaining dogs were severely dehydrated and weak, from being confined for several days without proper food. Given medical attention after being shifted to NGO. Many of the dogs found were pets who still had collars and tags, believed to have been caught in a dog meat trade racket. Four arrested</t>
  </si>
  <si>
    <t>Samaguri</t>
  </si>
  <si>
    <t>Subadult Rose Ringed Parakeet kept as a pet. All secondaries and a few primaries of both wings clipped</t>
  </si>
  <si>
    <t>Asian Koel Adult. All feathers clipped, including the rectrices (Neatly cut)</t>
  </si>
  <si>
    <t>Adult Rose Ringed Parakeet seized from fortune teller</t>
  </si>
  <si>
    <t>Adult Rose Ringed Parakeet rescued from captivity. Feather picking behaviour present. Primaries and secondaries of both wings were broken</t>
  </si>
  <si>
    <t>A female community dog poisoned.</t>
  </si>
  <si>
    <t>Dog given poisoned food by neighbour who considered him a 'problem dog', died</t>
  </si>
  <si>
    <t>Adult Rose Ringed Parakeet seized from fortune teller. No primaries and secondaries (feathers)</t>
  </si>
  <si>
    <t>2 adult Rose Ringed Parakeets seized from Fortune teller. One's lower beak was slightly blackish and her primary feathers were clipped. The other didn't have any primaries on either wing. A few secondary feathers present</t>
  </si>
  <si>
    <t>Rope deeply embedded in a cow's neck</t>
  </si>
  <si>
    <t>Dog trapped in wildlife hunter's iron claw trap, paw destroyed rescued</t>
  </si>
  <si>
    <t>Thousands of devotees sacrifice goats on the occasion of ‘Chhattar Yatra’ to appease the deit,y despite awaness drives and sensitisation programs</t>
  </si>
  <si>
    <t>Adult Alexandrine Parakeet kept as pet. All feathers except a few primaries clipped</t>
  </si>
  <si>
    <t>Man found smuggling cattle in a truck, booked under Section 8 of the Himachal Pradesh Cow Slaughter Act and Section 11 of the Animal Cruelty Act after recovering 10 cattle from the truck.</t>
  </si>
  <si>
    <t>Nahan</t>
  </si>
  <si>
    <t>Acid thrown on cow to prevent her from entering a garden. Rescued, treated</t>
  </si>
  <si>
    <t>Alexandrine Parakeet kept as a pet. Feathers of both wings clipped</t>
  </si>
  <si>
    <t>Official Records</t>
  </si>
  <si>
    <t xml:space="preserve">Dog (Ruby) tied and raped. Heavy blood loss, spinal injury and paralysis. Ruby finally walked after a lot of therapy. Passed away 6-8 months later </t>
  </si>
  <si>
    <t>Adult Bonnet Macaque. Stereotypical captive behaviour</t>
  </si>
  <si>
    <t>Duck</t>
  </si>
  <si>
    <t>Spotted bill duck and duckling poached and being sold for slaughter. Duck escaped, duckling rescued, treated, released</t>
  </si>
  <si>
    <t>Winnie, a dog, rescued- piece of wire tied tightly around its neck like a noose and connected to a stick, head swollen to almost double the size</t>
  </si>
  <si>
    <t>Dog attacked with acid and phenyl. Rescued, treated and released</t>
  </si>
  <si>
    <t>Friction from rope tied near nose of the cow caused severe abrasion hat became a maggot wound, rescued</t>
  </si>
  <si>
    <t>Watchman found raping a female dog in the society premises. Police and NGO arrived at the location, took the accused to the station and filed a case u/s 377. Taken into custody. Granted bail because of political pressure and lack of forensic evidence. Dog treated and recovered</t>
  </si>
  <si>
    <t>Pet dog killed. Found with head separated from the body. FIR filed u/s 429 IPC</t>
  </si>
  <si>
    <t>Clutch wire wrapped tightly around dog's leg, rescued only hours before there would have been irreparable damage to paw from the wire cutting off circulation</t>
  </si>
  <si>
    <t>Rose Ringed Parakeet seized from fortune teller with all wing feathers plucked</t>
  </si>
  <si>
    <t>Acid thrown on bull who wandered into a garden looking for food. Rescued, treated</t>
  </si>
  <si>
    <t>A resident living in the same society as the complainant hit a Street female dog with an iron rod on her one eye, dog was badly bleeding from eyes, complainant took the dog to a hospital for treatment. "My name is dharmesh talaviya , from surat , Gujarat , india , yesterday evening one of my society's man hit one stray dog with iron rod on her one eye , and that female dog was badly bleeding from eyes , we went to the hospital for treatment , so they did some treatment , and our family regularly feed those stray dogs , now how can I protect this stray dogs from that cruel person , we went to that person who hit that dog with iron rod but he said I will do it again . So what should I do now , I am very angry on him now."</t>
  </si>
  <si>
    <t>Pug rescued from abusive home, with a maggoted eye that needed to be removed, and a torn urethra that could be the result of sexual assault</t>
  </si>
  <si>
    <t>Cruel security guard chased dog off a cliff into a nest of thorns and impenentrable brambles, dog blind and terrified, did not have food/water for 2 days, rescued</t>
  </si>
  <si>
    <t>25 yr old man booked u/s 377 for raping calf, absconding</t>
  </si>
  <si>
    <t>Mandanagla</t>
  </si>
  <si>
    <t>2 Rose Ringed Parakeets Adult. Fortune teller - Clipped feathers</t>
  </si>
  <si>
    <t>Rose Ringed Parakeet held captive as pet. NAD skeletally. No rectrices or flight feathers</t>
  </si>
  <si>
    <t>Bidar</t>
  </si>
  <si>
    <t>Black Kite Sub adult. Left wing - Pantagium having an old injury (Scar formation seen). All the feathers are broken and soiled</t>
  </si>
  <si>
    <t>Video shows man named Dar ji alias Vatssam Kumar grabbing the hind legs of the dog and whirling the animal round several times before flinging it against a parked vehicle nearby. The dog can be heard whimpering.</t>
  </si>
  <si>
    <t>Adult Rose Ringed Parakeet rescued from captivity. Found with no plumage on mantle, feathers of both wings (primary and secondary) and rectrices absent</t>
  </si>
  <si>
    <t>Person stabbed a dog named Rocky who was involved in a fight with his pet dog, case registered</t>
  </si>
  <si>
    <t>Rose Ringed Parakeet rescued from fortune teller, with clipped feathers</t>
  </si>
  <si>
    <t>Five fishing cats were murdered for fun, meat and skin.</t>
  </si>
  <si>
    <t>Howrah</t>
  </si>
  <si>
    <t>Adult Rose Ringed Parakeet with all primaries and secondaries of both wings plucked</t>
  </si>
  <si>
    <t xml:space="preserve"> A male Street dog was discovered with his jaw and spine broken, penis cut off and bleeding profusely. Vet confirmed he was sexually abused and tortured, possibly by multiple people. Dog succumbed to injuries two days later. Complaint filed</t>
  </si>
  <si>
    <t>Dog beaten badly, fractured pelvis. Rescued and being treated. "This poor dog was considered a "problem dog" in his neighborhood, as no one had bothered to get him sterilized. As a result , he was beaten viciously which resulted in him being paralysed. A sympathetic resident tried to call rescue centres &amp; local vets , only to be told the dog would need an xray. Confused &amp; angry the resident then dumped this poor dog on a busy roundabout, miles away from his territory,. Unable to walk, he then crawled into a ditch.Wag was alerted &amp; WAG Supporter Yohani rushed to his rescue &amp; the very kind Dr Kiran treated him. He is now 50km away from his "home", at the Wag Shelter, being treated by Dr Upendra."</t>
  </si>
  <si>
    <t>Community dog beaten for being a 'problem' dog, resulting in paralysis. When a concerned resident sought help, they were told he's need an x-ray, so they just dumped him on a busy roundabout. Unable to walk, he crawled into a ditch. Rescued, treated</t>
  </si>
  <si>
    <t>Adult Rose Ringed Parakeet rescued with no flight feathers and rectrices.</t>
  </si>
  <si>
    <t>Street dog killed by security guard in Lovely Professional University, guard thrashed dog with wooden stick, case registered</t>
  </si>
  <si>
    <t>Two dogs came inside university gallery hall and a security guard knocked one of the dog's head with an iron rod and he bled to death with the other dog watching him die</t>
  </si>
  <si>
    <t>2 adult Rose Ringed Parakeets
  kept as pets. Feathers clipped</t>
  </si>
  <si>
    <t>Dogs traficked from Kerala and sent to Nagaland for meat. Immense cruelty in the whole process- dogs beaten to death, slowly; transported in dire conditions; kept gagged and tied completely; starved; killed in presence of other dogs</t>
  </si>
  <si>
    <t>Man, thought to be an animal lover, caught raping a dog by two teenagers. The boys confronted him, the conversation got heated and they hit him with bamboo sticks, leading to his death. Two puppies had been found dead in the area recently, and the two teenagers had also suspected that this man was behind their deaths</t>
  </si>
  <si>
    <t>Adult Rose Ringed Parakeet sezied from Fortune teller. Found with clipped feathers</t>
  </si>
  <si>
    <t>Dogs treated very badly on BITS campus. Guards routinely beat them if they come near any building entrance</t>
  </si>
  <si>
    <t>Two 2-month-old puppies beaten and mutilated. Rescued and treated</t>
  </si>
  <si>
    <t>. "Jiva Bull Calf was rescued by Wag volunteers after having boiling oil thrown at him, whilst he was begging for a morsel. With a lot of hard work &amp; ayurvedic medicines , Jiva is a happy healthy calf.
Whats more he is extra gentle &amp; loves cuddles. Jiva is up for adoption, but not many people want a male calf. This is why Jiva will be neutered next week, as unsterilized bulls can cause havoc at any Shelter , or even on the streets."</t>
  </si>
  <si>
    <t xml:space="preserve">Leopard first suffocated, and then killed,dragged and paraded through the village.
</t>
  </si>
  <si>
    <t>Puppy beaten for seeking food. Rescued, treated. "And this little one was beaten because she was hungry, the result was a fracture. Melody, (also called Sasha) is now completely healed at the Welfare for Animals Shelter, under the watchful eye of Dr Upendra and Dipankar who look after her despite their busy schedule.
This 8-month-old beautiful girl is sterilized, de-wormed, fully vaccinated and ready for adoption."</t>
  </si>
  <si>
    <t>2 dogs were brutally murdered. Huge bloodstained stones and sticks were found. Information points to pigrearers killing these dogs. Complant reveived, panchanama done, awaiting post mortem report</t>
  </si>
  <si>
    <t>Man caught raping goat, arrested u/s 377. Govt vet confirmed the rape.  "The Mulky police have arrested Santosh Talwar, 24, for allegedly having sex with his neighbour’s goat in K.S. Rao Nagar on Wednesday. The police said Mr. Talwar took the goat to the toilet of his house on Tuesday night to have sex with it. As the goat started to make noise, neighbours came to the house and noticed Mr. Talwar in a sexual act with it. The police arrested Mr. Talwar under Section 377 of the Indian Penal Code. The police said a government veterinary doctor has certified that the goat was a victim of sexual assault."</t>
  </si>
  <si>
    <t>Adult Bonnet Macaque kept in a temple for 5 years</t>
  </si>
  <si>
    <t>Dog sodomised, leading to anal rupture, requiring intense medical care. Ultimately rehabilitated in his locality</t>
  </si>
  <si>
    <t>Dog sexually abused, perpetrator not found</t>
  </si>
  <si>
    <t>Cattle sexually abused in Badlapur, perpetrator not found</t>
  </si>
  <si>
    <t>Pregnant cow being dragged forcefully, beaten, presumably by butchers. Delivered her calf in the midst of the stress. Rescued. "On December 24th, in the early hours of the morning, three friends, Nishanth, Jason and Ravi, were jogging on the Palavaram-Sholinganalur by pass road. It was here that they saw an unsightly event unfold. Two men, who were presumed to be butchers due to their blood stained clothes, were trying to forcefully make a cow come with them. When they tried to beat the cow, Nishanth immediately stopped them and reprimanded them for their cruel act while Jason and Ravi interrogated them as to why they were trying to force the cow to walk with them. Little did they know that this cow was pregnant. Nishanth, in a fury, informed Mr. Dawn Williams about the fiasco. The two butchers eventually became aggressive when the trio didn’t allow them to take the cow with them, and started hurling abuses at them. Suddenly, amidst the chaos, a miracle happened, he cow delivered a calf. The three friends were stunned and did not allow the butchers to lay their hands on the mother and the baby. They told them that the Blue Cross was on its way.
By the time Mr. Dawn Williams had arrived, the two butchers, fearing the consequences, had fled the scene, leaving behind the animals.
Ravi carried the calf to the Blue Cross ambulance and the mother followed, who until then had refused to move.
The cow and her calf, who have been christened as Rajalakshmi and Rajeshwari respectively, are now living together peacefully in the Blue Cross of India, where they will spend the rest of their lives. All Thanks to our brave heroes, Nishanth, Jason and Ravi."</t>
  </si>
  <si>
    <t>Man arrested u/s 377 for raping a Street dog</t>
  </si>
  <si>
    <t>Dog beaten for seeking food. Rescued and treated</t>
  </si>
  <si>
    <t>Man caught sexually abusing female dog in a garden. Police called, since there was only sexual abuse but no intercourse, case filed u/Maharashtra Police Act 119, arrested</t>
  </si>
  <si>
    <t>10 dogs attacked, and cut. Police blamed thieves, and refused to file case. Locals unsuportive, and laughed when the dogs were being treated, and even chased away some so they wouldn't get medical help. Some suspect it was the work of a butcher who did not like the dogs loitering near his shop.</t>
  </si>
  <si>
    <t>Suri</t>
  </si>
  <si>
    <t>16 cats rescued from cat meat trade with help from police. Complaints received about pet cats missing. Rescue group also found just-boiled meat available for sale. Live cats were crammed in cages, 16 to one cage. Killed by being boiled alive, and sold openly to local hotels who sell it as mutton since it's cheap. Cats rescued in a dehydrated, starving condition</t>
  </si>
  <si>
    <t>Man caught raping a cow on camera, raped her several times before this as well. Cow found with rope marks, injuries on vagina. Booked u/s 377, 447 IPC</t>
  </si>
  <si>
    <t>Dog beaten brutally and left for dead. Sustained fractures to both hind legs and spine, under treatment at shelter now</t>
  </si>
  <si>
    <t>To make sure that the animal do not sprawl on the floor and die inside cramped lorries, traffickers use chilli paste to make them wince. Sometimes pieces of hot chilies are inserted under their eyelids, while taking to slaughterhouses. On Oct 8, 2014 we stopped yet another truck transporting cattle for slaughter. We have stopped so many trucks overloaded with cattle for slaughter but nothing has changed. When we found this truck it had 20 cattle were stuffed in. Worse they were using the same old nasty ‘green chillies’ , which are stocked to rub into the eyes of the cattle that fall from fatigue. We called the police and got the vehicle to be taken to the station.</t>
  </si>
  <si>
    <t>Puppies beaten while seeking food, one sustained fractures to his leg. Rescued and treated</t>
  </si>
  <si>
    <t xml:space="preserve">Acid thrown on calf, found with severe burns and maggot wounds, treated. </t>
  </si>
  <si>
    <t>Thrissur</t>
  </si>
  <si>
    <t>2 pet cats attacked with sticks and iron rod by neighbour who found them to be a nuisance. One cat permanently disabled as a result of the attack. Summons issued by magistrate court 2 years later</t>
  </si>
  <si>
    <t>ABC-cruelty+relocation</t>
  </si>
  <si>
    <t>ABC Catch and release programme not being followed properly in Pondicherry. Dogs are caught in a brutal manner, housed in cramped kennel without adequate food and water, and released in a different location. Sometimes sterilised dogs are also caught to show the public that action is being taken</t>
  </si>
  <si>
    <t xml:space="preserve">Children threw lit crackers at monkey and baby who was begging for food. The mother ran away and got electrocuted from the transformer. Baby was found clinging to the dead mother. "On the 7th of May, 2014, The Blue Cross of India received a call from Mr. Sokku of Ambedkar street, stating that a mother monkey had died of a massive electric shock and her baby, a very tiny baby, was still clinging to the body and in poor health.
At our request, since the incident had occurred in Thiruvalluvar District, the volunteer coordinator of CSS, Chennai Social Services, an organisation that does a great deal in support of the BCI, sent Mr. Hari Prasad to scene of the incident.
It appears that a young mother monkey had been begging for food for her and her baby from flat to flat when some of the children residing in those flats, home during the summer vacations, decided to tease her by lighting crackers and throwing them at her. They so distressed the mother and her baby (according to the narration of the incident by the building's care-taker/watchman, who had been standing by watching the cruelty rather than intervene and stop it) that the mother, with her baby still clinging tightly to her with his arms around her neck, climbed up and electricity transformer to get away from them, was electrocuted for about 15-20 seconds as she screamed in pain and agony, before falling face-first to the ground, dead or dying of pain, with her baby still clinging around her from the front. Ironically, the children, the same ones that had thrown firecrackers at her when she was begging for food, placed a bowl of milk before her dead body in an attempt to make up for their unthinking and evil act.
The baby monkey was just a few days old and his survival was still touch and go when Hari Prasad reached our Guindy facility after burying the poor mother in the area she had died in and saying a prayer for her tortured and departed soul, along with a promise that he would ensure that her baby gets to live a happy life.
The first few hours were difficult for all of us at the BCI in our efforts to save the little baby monkey. Dawn Williams, the General Manager with a heart as big as a house, stayed up with him, nursing and medicating him in his arms, right through the night, as the little baby would start crying every time Dawn placed him on his pillow. Thanks to Dawn's unmitigated love, he survived that night and he is now a happy little monkey in the BCI. He gets the best care and is heavily pampered by all our staff. He is cared for during the day in the Aviary and stays with either Dawn or Leelavathi (our attender in charge of the Aviary and one of our Star Employees) during the nights. We have communicated his condition to the Zoo Veterinary Clinic as well as the Zoo and Wildlife authorities and they have requested us to continue to care for him until he is stronger and healthier as he is too small and frail to be handed over to the Zoo as the law requires."
</t>
  </si>
  <si>
    <t>Young boy cut the Achilles tendon of a cow's leg with a sickle, and then slashed the cow in several places for sifting through their trash. FIR registered. "Ajith maintained that he attacked the cow because she had sifted through the garbage that had been thrown outside their house. When the problem is created by uncaring humans that are willing to anti-socially discard garbage on the road-side rather than use garbage-bins, how does attacking a cow that would naturally be inclined to rummage in that garbage serve any purpose at all?
Even more worrisome, however, is the fact that this is the 2nd story of cruelty inflicted by children that we have encountered in the last 1 week. The fact that such heinous and disgusting offenses are being committed by that section of our society that is supposed to be the purest and most innocent is distressing, to put it mildly.
The objective behind legal repercussion is not punishment, but deterrent. As long as the Police feel like they have the right to refuse cases and respond to the bankroll more than the Law, the Law in India will remain a joke. In this case, for instance, Dr. Alageshan certainly should not have needed to stay at the police station begging the Inspector to make him out an FIR. The Inspector works for the Law, and the fact that a Law was broken ought to have been sufficient to encourage him to act immediately.
However, the filing of the FIR is meaningless without the Courts taking action. What will happen is that the Police will never take this case forward, or the PP (Public Prosecutor) will decide that it's not interesting enough a case. After all, the fine in this case is Rs. 50, and there has never been a precedent of a case of cruelty to animals being met with jail-time in India."</t>
  </si>
  <si>
    <t>Sunkuvarchatram</t>
  </si>
  <si>
    <t>Mother of 4 pups stoned to death</t>
  </si>
  <si>
    <t>Aldona</t>
  </si>
  <si>
    <t>Two boys seen dragging a dog, whose leg they had secured by means of a coir rope, along the road before violently throwing her into a trash-bin. The dog had severe multiple fractures to her hind legs and hip. Probably a pet who was abandoned after getting into an accident. "We must, however, also take this opportunity to condemn the mindset that would allow two young children, the future of our species, to so ruthlessly and callously dispose of a living being in distress simply because she had sustained serious injuries, and would thus no longer serve them as a watch-dog or a playmate. The kind of mind that would be so cruel to one living being, would very easily be able to adapt that cruelty to other living beings as well. Today, their pet, tomorrow, their neighbour... Such an occurrence is a tragedy in every sense of the world, because it contains both the suffering of the innocent (dog) and the perversion of the innocent (children)."</t>
  </si>
  <si>
    <t>Cat found in a drain with a twisted front paw and her tail clipped off. Rescued, but died from internal injuries 4 days later</t>
  </si>
  <si>
    <t>27 bullocks were found cramped inside the wagon of Howrah bound Hyderabad-Hatia Express train. The animals were packed in asphyxiating conditions with no water or ventilation, and were allegedly being transported to be slaughtered in West Bengal.</t>
  </si>
  <si>
    <t>Man killed a dog by dropping a big rock on her head while she was sleeping, threatened all the other dogs. Was restrained by locals, FIR filed, remanded to custody</t>
  </si>
  <si>
    <t>Drunk man caught raping a puppy. Police arrived and since the victim was a puppy, let the man off with a warning. Witnesses claim this is not the perpetrator's first ASA offense</t>
  </si>
  <si>
    <t xml:space="preserve">20 cats found crammed in small cages. Trapped brutally, injured in the process by narikoruva gypsies who boil them alive for their meat. Rescued  </t>
  </si>
  <si>
    <t>Spectacled Cobra</t>
  </si>
  <si>
    <t>Cobra got entangled in a fishing net. Fisherman wanted to beat it to death, but was stopped. Kept insisting that the snake be killed so the net wouldn't need to be cut. Rescued, sustained minor injuries, sent to Zoo Veterinary hospital</t>
  </si>
  <si>
    <t xml:space="preserve">Cow found dead with severe internal injuries and mutilated teats. FIR u/s 429 IPC, accused not identified </t>
  </si>
  <si>
    <t>Valaiyapatti</t>
  </si>
  <si>
    <t>Dog rescued from deplorable conditions- permanently chained, sleeping in his excrement &amp; fed once a week. Rescued, treated, adopted</t>
  </si>
  <si>
    <t xml:space="preserve">4 Street dogs brutally beaten by some locals for being a nuisance. 3 treated on the spot, one brought to shelter with more serious injuries
</t>
  </si>
  <si>
    <t>Dog assaulted, sustained leg wound. Rescued, treated and released</t>
  </si>
  <si>
    <t>52 year old man dragged female dog into his house and raped her. Arrested, case booked u/ 377 IPC, s 11 PCA. Dog shifted to an animal home</t>
  </si>
  <si>
    <t>Man caught raping injured cow, found with a bottle of coconut oil beside him. Arrested, confessed, placed under police custody, booked u/s 377. Medical examination confirms rape</t>
  </si>
  <si>
    <t>Blacky was tortured sexually by a man living in the same locality. He had inserted multiple metal objects into her. Rescued in an extremely weak condition</t>
  </si>
  <si>
    <t>Auto driver caught trying to rape Street dog for stealing chicken from him, dog was seen crying in pain. Arrested and kept in jail for two days, but since the dog couldn't be found despite the witness searcing daily, he was released</t>
  </si>
  <si>
    <t>Man arrested u/s 377 for raping a buffalo. "A man, Neelam Lachaiah, 43, from Porandla village in Timmapur mandal of Karimnagar district, was on Saturday arrested for suspectedly having sex with a buffalo.
Lachaiah was apprehended after the animal’s owner, Bojja Balaiah filed a complaint with the police. The accused has been booked under Section 377 (unnatural sex) of the IPC.
An investigation has been initiated into the incident.
Eyewitnesses claim that Lachaiah, who was released on parole from a life sentence for the murder of three boys three years ago, was found naked beside the buffalo, which had its legs tied and it’s mouth gagged." Deccan Chronicle</t>
  </si>
  <si>
    <t>Karimnagar</t>
  </si>
  <si>
    <t>Children of Gopal Krishna Society encouraged by their gaurdians to pelt stones on Street dogs so as to shoo them away from their locality. When an animal lover was feeding them, residents came out to stop her. Started hitting the dogs with a stick while they were eating</t>
  </si>
  <si>
    <t>A lady beats up street dogs as they take shelter in her varanda during heavy rains. In addition, she, along with other people of her society, regularly threaten people aganinst feeding stary dogs.</t>
  </si>
  <si>
    <t>Street dog attacked with acid. Ran away from rescuers out of fear, trying to be located for treatment</t>
  </si>
  <si>
    <t>Man took neighbour's cow to his house, tied her legs and snout before raping her. Case booked u/s 377 after public pressure</t>
  </si>
  <si>
    <t>Indore</t>
  </si>
  <si>
    <t>Security guard caught throwing stones on a friendly dog, claiming he was disturbing people</t>
  </si>
  <si>
    <t>3 men kill dog for barking. They tied its neck using a rope, dragged it and attacked it with knife and a stone, caught on CCTV. Attempted to attack a pet dog as well. Booked u/s 429, 34 IPC, s 11 PCA</t>
  </si>
  <si>
    <t>40 year old man booked for raping, beating a buffalo calf.  Case registered u/s 377</t>
  </si>
  <si>
    <t>Wardha</t>
  </si>
  <si>
    <t xml:space="preserve">20 year old mahout tied a cow's hind legs together and tried to rape her. She tried to escape and fell, fracturing her hip. Unlikely to be able to stand again. Man booked u/ IPC, PCA. </t>
  </si>
  <si>
    <t>Drunk man caught holding a dog tight and raping them in an auto. Dog ran away the moment they were released. When confronted, he agreed that it was wrong, but said he had no other option. Ran away when guards were called. Police didn't file complaint, saying he ran away, nothing to be done now</t>
  </si>
  <si>
    <t>Bear</t>
  </si>
  <si>
    <t>Inquiry ordered into an attempt by a jeering crowd to set a terrified bear, which Streeted into a village, on fire. Video shows the bear trying to climb a tree in desperation as a crowd gathered around. The villagers are seen tying a burning cloth to a pole, raising it towards the bear and poking the animal. The bear tries to perch itself further up on the tree's branches until it's unable to go up any further. Soon engulfed in flames, the bear eventually climbed down and managed to escape.</t>
  </si>
  <si>
    <t>Shopian</t>
  </si>
  <si>
    <t>Pregnant donkey with improperly healed foot fracture targetted by school children, hit with stones since she couldn't run away. Rescued, but sustained permanent injuries</t>
  </si>
  <si>
    <t>22 yr old man raped a buffalo, caught in the act by buffalo's owner. FIR registered, medical tests done. Convicted u/s 377, awarded imprisonment for 5 years + Rs. 5000 fine</t>
  </si>
  <si>
    <t>Sikar</t>
  </si>
  <si>
    <t>Calf gangraped by 3 men in a slum. Caught by local residents, one confessed. In police custody, case registered u/s 377, 295A IPC</t>
  </si>
  <si>
    <t>13 yr old boy seen raping female dog in a garbage dump. Police were called, but because of his age, the witnesses did not want to file a case</t>
  </si>
  <si>
    <t>Man rapes 3 month old calf. FIR registered u/s 377. Accused identified, but was granted bail and has since disappeared. Forensic evidence was collected but no trial yet since the accused hasn't been located. The calf is being raised in a gaushala</t>
  </si>
  <si>
    <t>Man seen dragging a dog with a rope, claiming he was going to sell him. People intervened and took the dog to the vet where it was revealed that the dog had rectal injuries consistent with rape, and cigarette burn wounds on his abdomen. Complaint filed. Dog died a few days later</t>
  </si>
  <si>
    <t>Trichur</t>
  </si>
  <si>
    <t>Three-legged female dog raped. Man arrested, FIR registered u/s 377 IPC, 11(a) PCA</t>
  </si>
  <si>
    <t>A fishing cat was beaten to death by some agricultural workers who found it hiding under reeds while they were draining and leveling a wetland.</t>
  </si>
  <si>
    <t>SPCA members see a man dragging away a female dog, other female dogs show signs of bestiality. Man handed over to police, complaint filed, investigation started</t>
  </si>
  <si>
    <t>Man hears his calf crying, finds her with four semi-clad drunk men. Her mouth was bleeding and tongue had been smashed in an attempt to silence her</t>
  </si>
  <si>
    <t>Video captures a traditional event called Gaider celebrated annually on Bhaiduj, where people tie the legs of piglet and throw it in front of other animals people tie the legs of piglet and the animal is thrown in front of bulls and buffaloes, and killed.
throw them infront of Cows, Bulls or Buffalo etc. - The Piglet get's
killed by these Large Animals. 
throw them infront of Cows, Bulls or Buffalo etc. and the piglet gets
killed by these Large Animals. The large animals are also goaded, tugged at, and made aggressive, so they attack the pig. Celebrated in Bihar and Jharkhand</t>
  </si>
  <si>
    <t>Latehar</t>
  </si>
  <si>
    <t>A lactating mother dog was killed for stealing chicken pieces for her new borns.</t>
  </si>
  <si>
    <t>Dog attacked by unknown person with some chemical or acid, suffered severe burns. Complaint filed u/ss 420, 421 IPC, s 11 PCA. Succumbed to injuries a week later</t>
  </si>
  <si>
    <t xml:space="preserve">A bunch of boys hit a dog. A fat piece of wood which was their weapon. The boys, all between 7 and 10 were quick to deny that they had hurt any dog. The leader boy of the pack Golu must be about 8 yrs old. The boy had broken the poor dog's leg. Dog was taken to the vet. 
The next day the same boy (accompanied by his friends) came up with a stick and hit the poor 15 year old, harmless bitch who was innocently eating biscuits. The boys had been attacking and beating up and wounding dogs regularly.
</t>
  </si>
  <si>
    <t>Mr. Joston killed a dog with an iron rod and then buried the body on an empty plot of land. Case registered.</t>
  </si>
  <si>
    <t>Assault in Zoo</t>
  </si>
  <si>
    <t>Visitors at Mahendra Chaudhary Zoological Park tormented a caged leopard for 30 minutes in the absence of the zookeeper and forced the feline to consume liquor. The incident took place in the presence of 15 other visitors who were “enjoying” teasing of the poor animal by some youths. The boys were apparently in an inebriated condition and were forcing the animal to consume liquor diluted with cold drink. Some visitors laughed as the leopard ran amok and roared due to the harassment. The youths even tried to put their fingers into the mouth of the animal, which made the leopard more infuriated.
Similar incidents were reported in the past wherein a bear killed a man who was trying to shake hand with the animal. In another incidence an exotic animal died after consuming plastic cap of a bottle that was thrown inside the enclosure by some visitor.</t>
  </si>
  <si>
    <t>Mr. Amit, Pilot of Jet Airways, tortured and shot at a colony poor dog and killed by his weapons inhumanly for no reason at all.</t>
  </si>
  <si>
    <t>Drunk man walking home annoyed at dog barking at him, hits her  with chain and metal rod, causing a broken skull, a dislodged eye and rendering her comatose. Succumbed to injuries. Booked u/ss 428, 504, 506 IPC, PCA</t>
  </si>
  <si>
    <t>A man was arrested by police for allegedly raping a stray female dog and forcing it to have oral sex with him</t>
  </si>
  <si>
    <t>Kharghar</t>
  </si>
  <si>
    <t>Two elephants (one calf and one adult) were attacked with flaming balls of tar and firecrackers by a frenzed mob in Jhargram district of West Bengal. The event came to light when a photograph of the incident, clicked by Biplab Hazra, won him the Sanctuary Wildlife Photography Award 2017. The photo shows the mother's leg burning, and the calf's rear engulfed in flames. The calf somehow survived, as per the photographer.</t>
  </si>
  <si>
    <t>Horse</t>
  </si>
  <si>
    <t>Assault by hard labour</t>
  </si>
  <si>
    <t>Mail by Alok</t>
  </si>
  <si>
    <t>The Tonga horse is an extremely poor condition; there are big knots on either side of his neck, and 8-10 wounds on the body. The horse had to undergo a 7-day treatment. The owner to be prosecuted under PCA Act.</t>
  </si>
  <si>
    <t>Jodhpur</t>
  </si>
  <si>
    <t>3. Working Animals</t>
  </si>
  <si>
    <t>Assault for Entertainment</t>
  </si>
  <si>
    <t>Animals in Magic in India</t>
  </si>
  <si>
    <t>The magician swats and induces a temporary coma by frosting an insect in a freezer, to make her appear to come back to life from the dead. This is a indeed cruel as the insect regains consciousness
when taken out of the freezer and becomes shocked—and for this the magician wins accolades!
Another trick involves twisting a chicken’s head to make her appear dead and then using a toy chicken head to show her come back to life. Though this looks innocuous, it may involve death by strangulation of the bird.
The reason that rabbits, doves and pigeons are commonly used in magic shows is because don’t cry, bite or scream—forms of resistance from a helpless animal that could otherwise “spoil” the trick.</t>
  </si>
  <si>
    <t>Confinement, Assault and Hard Labour</t>
  </si>
  <si>
    <t>The Kalandars are India’s traditional dancing bear owners. The cubs are most often tiny and fragile when captured and are roughly handled by the poachers. The cubs’ first few days are spent under an upside-down basket—in the dark, without food, water, or any kind of contact with the outside world. This is done so that the cubs become submissive.
Next the cub is taken from under the basket and tied to a post in the village where the children torment the already frightened animal.
Before the age of 6 months, the cub's muzzle is pierced with a red-hot poker, without anaesthesia. The poker is forced through the bone, cartilage and nerve membrane in the top of the muzzle. A coarse rope is then pulled through the wound, sometimes resulting in an infection.
In many cases, a second piercing is necessary, usually done before the first wound has healed. Before they reach a year old, their teeth are knocked out with a hammer — without any anaesthetic.
Between 60-70% of the cubs die before they can be trained. Surviving cubs suffer a punishing regime of beatings and starvation to make them submissive to their trainers. 
To train the bear to dance, hot coals are placed under their feet and the muzzle pain is exacerbated as the trainer pulls on the rope forcing the cub to stand upright. Under their thick collars, cuts are made to inflict more pain, thus the bears' undivided attention and complete compliance.</t>
  </si>
  <si>
    <t>Confinement and Assault</t>
  </si>
  <si>
    <t>The Barabanki Fair, aka Dewa Mela, has been taking place annually for over a century to commemorate the Sufi saint Haji Waris Ali Shah. The fair is a site for thousands of equines to be traded. Many of the animals travel hundreds of kilometres in groups of 25-30 in trucks legally required to hold no more than six, without access to food or water during the journey. Others walk the distance over several days.</t>
  </si>
  <si>
    <t>Dewa Sharif</t>
  </si>
  <si>
    <t xml:space="preserve">Snakes are often shoved into bags, kept in cramped boxes, and starved. Their teeth are often violently yanked out, and in many cases, their mouths are sewn shut. Their venom ducts are often pierced with a hot needle, causing their glands to burst. The 'tikka' applied as a sign of worship trickles into and irritates the animals’ eyes. And the “dance” that these animals perform is actually a fear reaction to the charmer’s pipe, which they view as a threat. </t>
  </si>
  <si>
    <t>PETA India</t>
  </si>
  <si>
    <t>PETA India’s investigation found that the festival forced elephants suffering from partial blindness, open wounds, painful abscesses, and lameness to participate. Mahouts beat them with crude weapons, exposed them to chaotic drumming and fireworks, forced them to stand and walk on hot tar roads, and denied them access to drinking water and shade. Many elephants were hobbled with heavy chains that severely restricted their movement, and as many as 134 elephants are being held in Kerala without valid ownership certificates. The Central govt. has issued a letter ordering Kerala authorities to enforce requisite laws and report back on action taken against cruelty to elephants.</t>
  </si>
  <si>
    <t xml:space="preserve">Not only are donkeys involved in the manufacture of bricks at the kilns, but they also work in lieu of cranes on site. They carry bricks, sand and crushed stone for mortar, walking up as many as 12 flights of stairs. They carry 25 bricks at a time, each weighing 2.5kg. </t>
  </si>
  <si>
    <r>
      <t xml:space="preserve">In John Sorenson’s essay ‘Animals as Vehicles of War’, collected in </t>
    </r>
    <r>
      <rPr>
        <i/>
        <sz val="12"/>
        <color theme="1"/>
        <rFont val="Arial"/>
        <family val="2"/>
      </rPr>
      <t>Animals and War</t>
    </r>
    <r>
      <rPr>
        <sz val="12"/>
        <color theme="1"/>
        <rFont val="Arial"/>
        <family val="2"/>
      </rPr>
      <t xml:space="preserve"> edited by Anthony J. Nocella, he cites a Human Rights Watch report on how “in Eritrea’s war for independence the Ethiopian air force deliberately killed herds of goats and camels to starve the civilian population into submission and to deprive the military enemies of food transport.”
Similarly, in Vietnam, the US air force is said to have deliberately targeted elephants that could have been used to transport.</t>
    </r>
  </si>
  <si>
    <t>Mule</t>
  </si>
  <si>
    <t xml:space="preserve">For one of the owners, his three mules and three horses have to walk 8km for over three hours each day, collect slate, and then walk back to the village where the slate is sold to local construction companies. Thin air and long walks cause the equines to develop respiratory problems, and lameness from the rough terrain. Another main cause of illness and disease came from dirty stables - an unsafe environment that can also cause accidents and lameness. </t>
  </si>
  <si>
    <t>Khanayara</t>
  </si>
  <si>
    <t>Equine</t>
  </si>
  <si>
    <t xml:space="preserve">Change.org petition by Friendicoes SECA detailing cruelty against mules, donkeys and horses at the Vaishno Devi pilgrimage. There are nearly 20,000 animals working at Vaishno Devi--many of whom are blind, lame, pregnant and suffering from diseases. They spend their entire day trudging painfully up and down the steep and precarious slope carrying an average of 90-100 kilos on their back in all sorts of weather conditions, beaten, prodded and abused all the way to force them to keep moving even when their exhausted bodies are beginning to give way under the pain and stress. </t>
  </si>
  <si>
    <t>Katra</t>
  </si>
  <si>
    <t>Assault for entertainment/Sports</t>
  </si>
  <si>
    <t xml:space="preserve">Camel race events being offered at Ummaid Lake Palace in Dausa. It is called a ‘five hour sport’. </t>
  </si>
  <si>
    <t>Dausa</t>
  </si>
  <si>
    <t>Bullock Cart Races are held every year in January. Lakhs of rupees bet on races. It involves a buffalo/cow tied to a plough and anchored by one person. Another person sits beneath at lower part of plough and intermittently bites buffalo’s tail with metal teeth inflicting pain to make it run faster. Other person (Anchor) at top beats it with whip.
Buffaloes are also fed with Liquor to make it intoxicated. At the race, many Buffaloes suffer serious leg fracture, some get permanently disabled, and many die of heavy bleeding &amp; dehydration</t>
  </si>
  <si>
    <t>Bannur</t>
  </si>
  <si>
    <t>Interview with former army veterinarians</t>
  </si>
  <si>
    <t>Army euthanises 20-30 equines, either because of age or due to physical ailments. The army also issues equines to serum institutes—this figure is in double digits.
Animals are also issued to riding institutes, and to ex-army men who may want them for riding purposes.</t>
  </si>
  <si>
    <t>63-year-old elephant, Gajraj is being kept in chains as a tourist attraction at the Satara Temple. Due to being chained to a hard floor, he has developed abscesses on his hind quarters and elbows. He reportedly spends time every day trying to free himself from those chains. Pictures also show that the ends of his tusks have been cut off. Before this, he was used by handlers to beg visitors for money. He is also exhibiting signs of severe psychological distress, presumably as a result of both his social isolation and the terrible conditions he is living in.</t>
  </si>
  <si>
    <t xml:space="preserve">Satara </t>
  </si>
  <si>
    <t>500-year-old donkey festival is held in the small village of Looniyawas. This event is held so that people can buy and sell donkeys. Donkey races are also held.</t>
  </si>
  <si>
    <t>Looniyawas village</t>
  </si>
  <si>
    <t>- Camels forced to carry riders all day long in the blazing sun with few breaks for rest and water. Inadequate food and no veterinary care.                                                                                                 - As per TOI, the demand for the camels who are transported from Rajasthan to Pune for giving joyrides "goes up during festivals. Not being able to survive the drastic change in living conditions, however, they soon weather away, making way for next lot". Camels who are taken to foreign climates are also susceptible to respiratory disorders and skin diseases.                                                                                                                                 - Camels' feet are biologically adapted to walk on sand, but they are forced to walk on concrete roads instead. Camels are often worked until they drop.                                                                                                     - In order for joyride operators to control the animals, camels' noses are pierced without any anaesthesia and rings are forced through the holes. This painful procedure leaves the animals bleeding and mutilated.</t>
  </si>
  <si>
    <t>Facebook</t>
  </si>
  <si>
    <t>Person making tik tok videos of him leading illegal dog fights. He is also using a mongrel dog as a bait dog to train his fighter dogs.</t>
  </si>
  <si>
    <t>Red Sand Boa</t>
  </si>
  <si>
    <t xml:space="preserve">Lakhimpur Kheri police rescued three Red Sandboa snakes, valued at Rs 2 crore in the international market, and filed an FIR under the Wildlife Protection Act against 3 persons.
The non-venomous Red sandboa is popularly known as a two-headed snake, which is the reason for several superstitions associated with them. There is a myth that this species of snake secretes an anti-aging agent in their gland. They are also used for making several medicines. This has resulted in rampant smuggling of this species of snake in Lakhimpur Kheri district. </t>
  </si>
  <si>
    <t>Bareily</t>
  </si>
  <si>
    <t xml:space="preserve">Camels forced to dance on the pointed ends of the "chabuk". They are forced to hold sticks with fire on the ends, and after this, they are made to lie down and the handlers dance on the camels' body. </t>
  </si>
  <si>
    <t>Jaisalmer</t>
  </si>
  <si>
    <t>Dog fight was organised in November, and the video was posted on Facebook. Case registered in Chhachhrauli Police Station.</t>
  </si>
  <si>
    <t>Yamuna Nagar</t>
  </si>
  <si>
    <t>A cow named Rani was forced to beg on the Streets of Lokhandwala. The animal was found in poor state of health, a swollen udder and could not even stand. Rescued and living in a sanctuary of Animal Rahat. FIR lodged against the abuser.</t>
  </si>
  <si>
    <t>An elephant is seen trying to run away from the noise and abuse of a temple festival. Four people are sitting on top of the elephant, while 6-7 people pull her/his tail, to prevent her from escaping. 
The elephant can be heard shrieking in pain and distress.</t>
  </si>
  <si>
    <t>Elephant named Suryanarayanan was a victim of incessant abuse and brutality. Due to constant changes in owners, he went through a series of mahouts, each one giving him the customary thrashing, mandatory when any new mahout takes over. His health deteriorated over time and no measures were taken to treat his wounds or his illnesses. His internal organs were all affected by disease and even in that miserable state, he was forced to work for temples.</t>
  </si>
  <si>
    <t xml:space="preserve">Camel race to be held at Bikaner Camel Festival, organised by the Department of Tourism, Art and Culture. </t>
  </si>
  <si>
    <t>Assault in Politics</t>
  </si>
  <si>
    <t>At a Bhim Army morcha in Bihar, Street dogs can be seen hung upside down.</t>
  </si>
  <si>
    <t>A langur was held in captivity; tied in the cold without food and water—to scare away Street dogs.</t>
  </si>
  <si>
    <t>Gautam Buddh Nagar</t>
  </si>
  <si>
    <t>Animals used by paramilitary services would be retired with benefits, just like human members of their corps. The animals, which include dogs, horses, camels, yaks and mules, would be retired to old age homes or rehabilitation centres. The most important part of the policy was that: “no euthanasia or auction would be conducted for worn-out cases.”
Armies have always used non-human animals, most obviously for transport, for cavalry and as food, or pigeons to carry messages.</t>
  </si>
  <si>
    <t>Assault by abandonment</t>
  </si>
  <si>
    <t>About 7 donkeys abandoned on the busy 18th cross Street, they are feeding on piled up garbage.</t>
  </si>
  <si>
    <t>Malleshwaram, Bengaluru</t>
  </si>
  <si>
    <t>Rekla race (bull race), was organised as part of Velaan and Kaalnadai Thiruvizha, an event to celebrate agriculture and livestock. The race held in two categories, 200 meters for the younger bulls and 300 meters for the older bulls.</t>
  </si>
  <si>
    <t>Venkatapuram</t>
  </si>
  <si>
    <t xml:space="preserve">District authorities have hired 12 donkeys to climb four kilometres up and down a steep hilly path to deliver Pongal gift hampers to the villagers of Nekkanamalai. This path lacks any proper road. </t>
  </si>
  <si>
    <t>Nekkanamalai Village</t>
  </si>
  <si>
    <t>Assault for entertainment</t>
  </si>
  <si>
    <t>Youtube</t>
  </si>
  <si>
    <t>Camel abused for "dance" at Nagaur Cattle Fair.
The camel is seen twisting her/his head in pain, as the controller tugs the ropes pierced through her nose (causing her to move her head—as a “pain response”). Next the camel is forced to stand on a charpoy and dance. There are police officials present on the site, who are simply watching this “performance”.</t>
  </si>
  <si>
    <t>Nagaur</t>
  </si>
  <si>
    <t>An injured horsen (emaciated with wounds) has been placed at a booth to take selfies at the International Film Festival in Goa.</t>
  </si>
  <si>
    <t xml:space="preserve">Heavily injured donkey, abandoned. There is a deep wound on her/his stomach; the owner must have tied a tight rope for carrying heavy weight. </t>
  </si>
  <si>
    <t>PETA India has announced a cash reward of Rs 50,000 to anyone providing information about the person who tortured a prized ''jallikattu'' bull to its death at Krishnagiri district in Tamil Nadu.</t>
  </si>
  <si>
    <t>Krishnagiri</t>
  </si>
  <si>
    <t xml:space="preserve">Person on tik-tok promoting dog fights. He is also making his pit-bulls fight. </t>
  </si>
  <si>
    <t>Mare found abandoned, with feet tied together and in a bad condition</t>
  </si>
  <si>
    <t>Several people are seen whipping a buffalo and making it run to pull the cart. After that, they lose control and the cart hits the divvider, all the riders fall on the road.</t>
  </si>
  <si>
    <t xml:space="preserve">Traders of Sanjay Place Market took out a procession of donkeys named after Mayor Naveen Jain as protest against Agra Municipal Corporation’s (AMC) levy of parking fee at the market. The donkeys were paraded amidst sloganeering and loud performance by a musical band. 
Senior leaders of Pragatisheel Samajwadi Party (PSP), including Manisha Singh and Nitin Kohli attended the protest to extend their party’s support to the trader’s cause. </t>
  </si>
  <si>
    <t>The accused had planned a horse-cart race at the Mumbai-Ahmedabad Highway in Vasai area. The police reached the venue and found 14 horses tied to seven carts. They also recovered whips from the horse-carts.16 people have been arrested. The organisers had also gathered labourers and daily-wagers to bet on the races.</t>
  </si>
  <si>
    <t xml:space="preserve">Vasai </t>
  </si>
  <si>
    <t>A sloth bear which was rescued from dancing is the subject of nationality debate between Nepal and India. As a result, for the last six months, it's locked in a cage in Kathmandu Zoo for the last six months.</t>
  </si>
  <si>
    <t>Nepal</t>
  </si>
  <si>
    <t>Kathmandu</t>
  </si>
  <si>
    <t>Boys at Mayapuri chowk are using a monkey for begging at traffic signals.</t>
  </si>
  <si>
    <t>Mayapuri Chowk</t>
  </si>
  <si>
    <t>14 camels, transported in a truck, smuggled illegally. No action taken by local police.</t>
  </si>
  <si>
    <t>Araria dist.</t>
  </si>
  <si>
    <t>A camel is forced to stand on a charpoy and “dance”. There are several ropes pierced through the camel’s nose, causing her/him immense pain when the controller pulls them with a jerk—which forces the camel to lift his front legs and head (giving the appearance of “dance”). Next, the camel is made to lie down and a woman gets on top of the camel’s body and starts dancing and performing tricks. There is a huge crowd of spectators, and a deafening drum is being played. Subsequently the adult woman climbs the camel, sits on her/his neck, and dances.</t>
  </si>
  <si>
    <t>Karnal</t>
  </si>
  <si>
    <t>In violation of the orders of the SC and HC, the Bhandara Deputy Collector permitted the bullock carts’ race known as ‘shankarpat’.The race was inaugurated by the assembly speaker and Congress MLA from Sakoli, Nana Patole, in the presence of a huge crowd.</t>
  </si>
  <si>
    <t>Bhandara</t>
  </si>
  <si>
    <t>An elephant being forced to perform at the Great Golden Circus.</t>
  </si>
  <si>
    <t>Chicken/Cock</t>
  </si>
  <si>
    <t>A cockfight was being organised, and bets were being placed at Old Mangalwari, Dhiwarpura.
Acting on a tip-off, the cops raided the spot and seized five cocks and cash. The accused were arrested.</t>
  </si>
  <si>
    <t>Ten elephants, including seven females, were used by spice farms/resorts for entertainment, with lack of basic welfare and healthcare. These include Jungle Book Resort, Sahakari Spice Farm, Tropical Spice Plantation and Sahyadri Spice Farm. Elephant rides with the use of ‘ankush’ hooks (elephant goads) continued. The elephants were overworked, with poor upkeep. In one case, an elephant was allegedly relocated to Kerala. 
PFA noted recent instances of the elephants being used openly in wedding processions and religious ceremonies, and has called for the use of elephants for commercial purposes, tourism rides, wedding parades and religious processions to stop. 
The HC of Bombay at Goa issued notices to the Principal Chief Conservator of Forests, Goa Wildlife Board, and the four commercial establishments on the commercial exploitation of the animals.</t>
  </si>
  <si>
    <t>Bull fight (dhirio) held.</t>
  </si>
  <si>
    <t>Confinement and assault</t>
  </si>
  <si>
    <t>Snake charmer was displaying a serpent as a “two-mouthed rarity”. He was raking in offerings from a large turnout of devotees at a temple celebrating Shivratri. A class 12 student confronted the snake charmer and rescued the snake. The snake was a Red sand boa, whose tail had been chopped off and there were huge clots of dried blood. The charmer had cut the tail to make the snake appear as if it had a mouth at each end of the body.</t>
  </si>
  <si>
    <t xml:space="preserve">Jallikattu held with the participation of around 900 bulls and more than 800 tamers. It was inaugurated by Minister for Local Administration SP Velumani, and Telangana Governor Tamilisai Soundararajan and Jaggi Vasudev, founder of Isha Foundation, witnessed the event. Successful tamers were rewarded with car, bike, household items and cash amounts. One person died, and at least 12 persons suffered injuries. </t>
  </si>
  <si>
    <t>Jallikattu event organised by St. Antony’s Church. A class 12 student died, when he tried to tame a bull after getting into the arena.</t>
  </si>
  <si>
    <t>Dindigul</t>
  </si>
  <si>
    <t>Greyhound Dog</t>
  </si>
  <si>
    <t>Dog Race (Hard Labour and Assault)</t>
  </si>
  <si>
    <t xml:space="preserve">Greyhounds, Punjab hounds, and Mudhol hounds are expected to take part in this race. The semi-urban Satara, Karad, Sangli and Kolhapur regions of western Maharashtra are abuzz with dog-racing. “At least one ‘shwaan (dog) race’ has been held every day for the past several months now. I’m called as a time-keeper to at least one, sometimes even two, three races every day,” said Akshay Davane, a resident of Umalwad village. There are no hoardings or posters. The messages are relayed through WhatsApp groups on a large scale.
</t>
  </si>
  <si>
    <t>Umalwad village, Kolhapur district</t>
  </si>
  <si>
    <t>Donkey is severely overburdened with stuffed sacks. The animal looks weak and exhausted.</t>
  </si>
  <si>
    <r>
      <t xml:space="preserve">Director Vikram Sugumaran is making a film (titled </t>
    </r>
    <r>
      <rPr>
        <i/>
        <sz val="12"/>
        <color theme="1"/>
        <rFont val="Arial"/>
        <family val="2"/>
      </rPr>
      <t>Therum Porum</t>
    </r>
    <r>
      <rPr>
        <sz val="12"/>
        <color theme="1"/>
        <rFont val="Arial"/>
        <family val="2"/>
      </rPr>
      <t>) with actor Dinesh, where the latter features as a jallikattu player. The director said "For a jallikattu sequence, we shot live at the Siravayal village’s manjuvirattu, and Dinesh actually participated in the event. There were more than 5,000 bulls there apart from five lakh people and it’s a place where you don’t know where the bull might come from."</t>
    </r>
  </si>
  <si>
    <t xml:space="preserve">
The security agencies have deployed five langurs on the route of Trump's convoy, to tackle monkeys. 
</t>
  </si>
  <si>
    <t>Cockfight was organised in Purulia district of south Bengal. Asim Mahato, the owner of the one of the birds, was standing near the two fighting birds and cheering. Suddenly one of the birds landed on him. The blade cut an artery on his ankle. He subsequently died. 
According to the police, such cockfights are organized regularly in remote villages and scores of villagers gather with their roosters. Sometimes, the villagers engage in betting but often the winner takes the dead bird as a trophy.</t>
  </si>
  <si>
    <t>Purulia district</t>
  </si>
  <si>
    <t>Video shows horse being used in marriage, with bridegroom sitting on top of her/him, being made to climb a charpai kept at a steep angle.</t>
  </si>
  <si>
    <t>Horse-cart rides used to take place on 80 acres of the Tableland, the famous tourist spot in Panchgani. However the Bombay HC in 2017, barred usage of the 80 acres, but allowed them to use "designated tracks" on 20 acres on the lower side of the Tableland. The horse cart owners pointed out it would be impossible to use the 20 acres as it was "extremely uneven and unsuitable for horse carts"; but the SC has upheld the Bombay HC's order.</t>
  </si>
  <si>
    <t>Man caught with a langur, who had a rope tied in its neck.</t>
  </si>
  <si>
    <t>Leo, a 10-month old dog was rescued from a dog fighting mafia. He was trained to become an aggressive, hyper dog who would attack other dogs, and even humans.</t>
  </si>
  <si>
    <t>Kambala racer, Nishant Shetty broke Srinivas Gowda’s record by covering the 100 metre distance in 9.51 seconds. The new record by Shetty was created at a semi-final round at the Soorya–Chandra Jodukare Kambala at Venooru in Belthangady taluk.</t>
  </si>
  <si>
    <t>Belthangady taluk</t>
  </si>
  <si>
    <t>Mare named Basanti abandoned by her owners at HIS hospital due to tumours which developed on her body, which the owners thought as untreatable. Rescued</t>
  </si>
  <si>
    <t>- Atlas is a dog who was being raised by the Dog-fight mafia in Delhi.
- He was kept tied to a pole with a two feet rope, day and night—to frustrate him, make him ferocious and fight-ready.
- His ears were clipped with a pair of rusted scissors with no anaesthesia or painkillers.
- His teeth were filed and sharpened so that he could rip his opponents' flesh apart.
- He was forced to mate frequently, so his owners could sell his puppies. He got penile cancer.</t>
  </si>
  <si>
    <t>Person arrested by Thane Forest Officials for trying to sell three rhesus macaque species of monkeys to local jugglers. He confessed that he used to trap monkeys from nearby jungles and then sell them to jugglers in the area for Rs 15,000.</t>
  </si>
  <si>
    <t>Himachal Pradesh Government to crack down on illegal use of spiked bits, pursuant to a letter by PETA pointing out the rampant use of spiked (or “thorn”) bits throughout Himachal Pradesh.</t>
  </si>
  <si>
    <t>At Alibag beach, horses are forced to lug carts filled with people into the sea to reach the Old Fort that is surrounded by water on all sides. This causes severe physical and mental trauma to the equines who do this for hours at a stretch. A resident said, "A few horses were also limping, which means that they are suffering from bodily injuries."</t>
  </si>
  <si>
    <t>Raigad District</t>
  </si>
  <si>
    <t xml:space="preserve">The annual Rama Laxmana Jodukere Kambala is held at night and goes on till the morning of the next day. </t>
  </si>
  <si>
    <t>Langurs being tied to trees, to keep monkeys at bay.</t>
  </si>
  <si>
    <t>Bull fight held between at an open field in Fatorda. The police have registered an FIR against two persons for organising the fight- under sections 336, 429 r/w 34 IPC and u/sec 11 (m) (n) of PCA Act.</t>
  </si>
  <si>
    <t>Fatorda</t>
  </si>
  <si>
    <t xml:space="preserve">As part of the celebrations for the Samundeswari temple festival, an annual bull-race is held in the village. More than 500 bulls participated, and a crowd of more than 5000 people gathered. Unable to control the crowd, the police resorted to lathi-charge. </t>
  </si>
  <si>
    <t>Thiruppattur</t>
  </si>
  <si>
    <t>Punjab tik tok user forces dogs to fight for his tik tok videos</t>
  </si>
  <si>
    <t>Magician PC Sorcar Junior highlights abuse of animals in magic shows. "Even popular tricks using pigeons and those involving rabbits emerging from hats; that’s not their true nature. Their wings are clipped, ears are chopped." Animals are made to perform under threat of punishment, for instance withholding food. "When not working, these animals spend most of their lives chained or in cramped, filthy cages, deprived of everything that’s natural and important to them, often including the companionship of others of their own species as well as a spacious, enriching environment. Once animals cross a certain age or their services are no longer required, they are left to rot in cages."</t>
  </si>
  <si>
    <t>Despite strict warnings from police, a bull-racing event was held in which more than 750 bulls took part. Two persons suffered grievous injuries.</t>
  </si>
  <si>
    <t>Chittoor district</t>
  </si>
  <si>
    <t>Japalouppe Equestrian Centre to host its 12th Annual Equestrian Games which would include jumping (normal, top score, relay), pole bending, dressage, trotting race, ball and bucket race, hat race, among others.
The centre has also set up a petting zoo to spend time with farm animals, including pigs, rabbits, goats, chicken, emu, even a bull, as part of the guided tours.</t>
  </si>
  <si>
    <t>Talegaon Dabhade, Pune</t>
  </si>
  <si>
    <t>Camels are used for "joy-rides" at Khandala point in Maharashtra. The animals are forced to maneuver on roads with heavy traffic and high speed vehicles.</t>
  </si>
  <si>
    <t>Khandala</t>
  </si>
  <si>
    <t>Horses used for fun rides, kept tied in one spot. Many of the horses were seen with swollen limbs and injuries.</t>
  </si>
  <si>
    <t>Matheran</t>
  </si>
  <si>
    <t>A young boy has tied a monkey to a rope and is using it for begging, in Ranga lane, Mylapore.</t>
  </si>
  <si>
    <t>More than 27 pairs of bulls were forced to participate in the ongole bull race, which was flagged off by YSRC MLA Gopireddy Srinivasa Reddy. As part of the contest, each pair was strained to drag a boulder weighing around 2,200 kg to as much distance as possible in a given time. Ramineni Tataiah, a participant, said his bulls pulled the heavy boulder for a distance of 4,800 feet in 10 minutes to win the contest on the first day. Ramineni rigorously trained his bulls everyday for the race.  The Animal Husbandry Department has come forward to supply nutrition to every bull at a free of cost, as per the Marketing Minister M Venkata Ramana.</t>
  </si>
  <si>
    <t>Guntur</t>
  </si>
  <si>
    <t>More than 200 bulls participated in the bull runs inaugurated at Nimmiampattu and Kothakottai. One of the bulls fell into a farm well during the race. It suffered severe injuries after hitting the stone stairs and died instantly.</t>
  </si>
  <si>
    <t>Nimmiampattu and Kothakottai</t>
  </si>
  <si>
    <t>Langur found tied and being kept in captivity in Green Orchid Resort to scare away monkeys, which is illegal. Complaint filed.</t>
  </si>
  <si>
    <t>Pocket Monkey (Pygmys)</t>
  </si>
  <si>
    <t xml:space="preserve">Restaurant Food Inn, Andheri West keeping monkeys in cages for entertainment purposes. </t>
  </si>
  <si>
    <t xml:space="preserve">200 bulls had been released during the jallikattu event. One of the bulls was frantically trying to escape the frenzied crowd, and in doing so he crossed a railway track and was hit by a train; dying on the spot. </t>
  </si>
  <si>
    <t>Sivagangai</t>
  </si>
  <si>
    <t xml:space="preserve">151 bulls from various districts in southern Tamil Nadu were forced to participate in this event. In a parallel event, over 700 bulls were released into a dry water tank. One person was killed and several were injured, as the animals ran into a massive crowd that had gathered to watch the event, for which permission had not been granted. </t>
  </si>
  <si>
    <t>Kandupatti village</t>
  </si>
  <si>
    <t xml:space="preserve">State health minister Dr C Vijayabaskar inaugurated the jallikattu event. 889 bulls and 158 bull tamers took part. 19 people were injured, one bull was injured, and one person died. 
</t>
  </si>
  <si>
    <t>Vadamalappur, Pudukottai</t>
  </si>
  <si>
    <t>2 men holding snakes in hands and begging</t>
  </si>
  <si>
    <t xml:space="preserve">Jallikattu event held with 597 bulls and 376 tamers taking part. 16 people suffered injuries. 
A six-year-old girl suffered injuries after a bull’s horn scratched her chest while she was watching he event. A senior doctor said the girl had a narrow escape from losing her life, as the injury was close to her heart.  </t>
  </si>
  <si>
    <t>Pothamettupatti village</t>
  </si>
  <si>
    <t>A bullock cart race was held to mark Pongal celebrations. Six carts participated, and the bulls were forced to run at speeds as high as 40 km/hr. For the past three years, bullock cart races have been organised along highways on the outskirts of the city.</t>
  </si>
  <si>
    <t>900 released at the jallikattu event. Over 50 people suffered minor injuries. One person died.</t>
  </si>
  <si>
    <t>Avarangadu</t>
  </si>
  <si>
    <t xml:space="preserve">Jallikattu event held. Revenue Minister R. B. Udayakumar, MLAs from Madurai, District Collector T. G. Vinay and Retired Principal District Judge C. Manickam inaugurated the event. At the end of the third round, a total of 220 bulls were released.. One spectator and one bull rearer died. </t>
  </si>
  <si>
    <t>Alanganallur</t>
  </si>
  <si>
    <t xml:space="preserve">Bullock cart race held at Krishnarayudupeta near Visakhapatnam. </t>
  </si>
  <si>
    <t>Krishnarayudupeta</t>
  </si>
  <si>
    <t>A cock fight was being held. Venkateswara Rao was holding the bird, when the bird tried to escape. In a bid to hold on to the bird, Rao was pierced by the sharp knife tied to her/his leg, and died.</t>
  </si>
  <si>
    <t>West Godavari district</t>
  </si>
  <si>
    <t>50 bulls were made to take part in a bullfight organised at a huge ground, with thousands of people in attendance. There was loud music playing (further distressing the agitated bulls), as their owners hit them with sticks. There was no medical facility available for the bulls who suffered injuries during the fight.</t>
  </si>
  <si>
    <t>Boidyabori village, Gauhati</t>
  </si>
  <si>
    <t>- In 2010, MCD had passed a resolution banning the plying of tongas in Delhi. PETA's field surveys have found that a total of 155 tongas are routinely plying in North Delhi Municipal Corporation (NDMC) areas, 58 are in East Delhi Municipal Corporation areas, and 40 are in South Delhi Municipal Corporation areas.                                                                       - The animals are made to work in the extreme heat and cold in a highly polluted environment and for prolonged hours. In addition, the carts are often overloaded, exceeding the legal limits on the quantity of goods and the number of passengers that they can bear. Both equines and humans have been seriously injured in traffic accidents.                                             - The animals openly defecate on roads, causing a hazard to public health, as their faeces commonly contain tetanus pathogens. They may also contain deadly zoonotic diseases (which can be spread to humans) such as glanders.                                                                     - PETA India has filed a petition in the Delhi HC seeking the enforcement of the 2010 MCD resolution.</t>
  </si>
  <si>
    <t>Two donkeys rescued from a ‘travelling fair’. They are in a terrible state, full of wounds and starving. They also had chains and filthy ropes around their necks which weighed 5 kgs each. It is clear that they were kicked and beaten regularly, as they flinch in terror even if a hand is raised. Legal action has been taken against their “owner”.</t>
  </si>
  <si>
    <t>C. Sankara Narayanan, Revenue Divisional Officer, Devakottai, said, "This year, we expect that over 300 bulls will take part in the event. Last year, 185 bulls took part." The event will take place in a 25-acre ground where bulls would be let loose. Siravayal bull taming sport is considered dangerous as it is another format of jallikattu, known as manjuvirattu. It has been reported in the past that bulls run amok into spectators goring people to death.</t>
  </si>
  <si>
    <t>Siravayal</t>
  </si>
  <si>
    <t xml:space="preserve">Jallikattu event held with more than 700 bulls and 680 participants. Sixty-five people, including spectators, were injured. </t>
  </si>
  <si>
    <t>Avaniyapuram</t>
  </si>
  <si>
    <t>East and West Godavari districts are the hotbeds of cock fights. Tollywood celebrities, politicians, businessmen, socialities and NRIs are said to be patrons, betting big on fighter cocks during the three-day Sankranthi festival. People come all the way from Karnataka, Odisha, Tamil Nadu and even as far as Kolkata, Asansol, Durgapur to gamble at these fights. There’s no limit on the bets placed and crores exchange hands on one day. The highest amount won in Bhimavaram last year was 10 crore. The sport is not only cruel to animals but also encourages social evils like betting, illicit liquor and child labour. Children are brought to defeather and cut up the dead birds. The losing bird is either given away to the winner or cooked and distributed among the losing party.</t>
  </si>
  <si>
    <t xml:space="preserve">Andhra Pradesh </t>
  </si>
  <si>
    <t>East and West Godavari districts</t>
  </si>
  <si>
    <t>Arrangements made to hold cock fights in villages, on the occasion of Sankranti. Tents and temporary sheds are being erected by the organisers of cock fights in mango groves to evade police. A cock fight organiser says, "The money we earn in organising cock fights lasts us an entire year. Why would we let go of it."</t>
  </si>
  <si>
    <t>Khammam, Bhadradri-Kothagudem districts</t>
  </si>
  <si>
    <t>Man makes a female dog fight with his pet dogs, leading to female dog being badly injured and unconscious</t>
  </si>
  <si>
    <t>As per data submitted to the Central Zoo Authority (CZA), 59 animals and birds died at Veermata Jijabai Bhosale Udyan (Byculla zoo) in 2017-18, many of them due to cardiac shock. The mortality rate in 2016-17 was 77 animals and birds. 
There are hundreds of species from Schedule-I, Schedule-II and IV of the Wildlife Protection Act, apart from exotic species housed in the zoo. BMC plans to have additional leopards, lions, giraffe and around 17 other exotic species on the premises.</t>
  </si>
  <si>
    <r>
      <t xml:space="preserve">Cock fighting continues despite ban. The police booked about 1,000 cases on cockfight organisers and punters in the last 15 days in the State, and intensified patrolling to prevent the banned game. Police have identified that cockfights were conducted in 4,552 villages. </t>
    </r>
    <r>
      <rPr>
        <u/>
        <sz val="12"/>
        <color theme="1"/>
        <rFont val="Arial"/>
        <family val="2"/>
      </rPr>
      <t>Excerpts from Nahari v. State of AP</t>
    </r>
    <r>
      <rPr>
        <sz val="12"/>
        <color theme="1"/>
        <rFont val="Arial"/>
        <family val="2"/>
      </rPr>
      <t>: "They are given steroids to make them more aggressive, and to make them fight; usually blades or an iron hook is attached to the feet of the roosters to ensure increased damage being inflicted on the other bird; no matter how exhausted the rooster is, it has to continue; it cannot exit the restricted fight space; the fight ends only with the death of one or both of the birds; and, even where the death of one of the birds is not caused, the injuries are so serious and grievous including, but not limited to, punctured lungs, pierced eyes and broken bones."</t>
    </r>
  </si>
  <si>
    <t>Krishna, Guntur, East and West Godavari districts.</t>
  </si>
  <si>
    <t>Assault for superstition</t>
  </si>
  <si>
    <t>More than 300 spiny tailed lizards have allegedly been killed in Bhuj. Activists believe that Sanda lizards are killed for their tails to extract a special kind of oil, which used to heal bone diseases and increase sexual stamina. Sanda Lizards are protected under Schedule II of the Wildlife Protection Act.</t>
  </si>
  <si>
    <t>Kachchh district</t>
  </si>
  <si>
    <t>At a Kambala event held in Aikala village, Srinivas Gowda reportedly took just 13.62 seconds to cover the total distance of 142.4 metres—apparently sprinting at a pace faster than Usain Bolt’s world record (100m in 9.55 seconds). Sports Minister Kiren Rijiu posted a picture of the 28-year-old in action and vowed that the top coaches in the country would train him.</t>
  </si>
  <si>
    <t>Aikala village, Mangalore</t>
  </si>
  <si>
    <t>Shasthamkotta Neelakantan was an elephant with the Sree Dharma Sastha temple. He was 6 years old when he was donated to the temple, which is under state forest department. However, he was subject to constant torture. It is contended that his mahout stabbed him in the leg. Further, he had severe wounds on his legs, as a result of being constantly shackled. His front legs were distinctly bent and swollen. Arthritis worsened his condition, and as a result, he was struggling to stand. 
Animal Legal Force (ALF), Society for Elephant Welfare (SEW) and PFA filed petitions in the HC to have him shifted to Wildlife SOS in Agra for better treatment. The court was misled by the forest department. They claimed that all facilities at SOS Agra will be provided to Neelakantan at the rehabilitation centre in Kottoor. 
However he was not given proper veterinary care or food at the centre. Unable to bear the pain, the tusker passed away, with chains still clasped to his legs.</t>
  </si>
  <si>
    <t>Kollam district</t>
  </si>
  <si>
    <t>Bull fight (dhirio) held in open field in Goa, with huge audience.</t>
  </si>
  <si>
    <t>A 15 year old female horse who had an open fracture in her hind left leg had been abandoned in Faridabad on 27th December; she passed away on 29th Dec.</t>
  </si>
  <si>
    <t>Themed restaurant offers horse cart rides to customers. A 3 and a half year old boy died after a horse-cart hit him at the play area of the restaurant. Police said the horse cart was allegedly ridden negligently.</t>
  </si>
  <si>
    <t xml:space="preserve">Legs of bulls tied with metal wires; photos show deep wounds and blood on the legs. </t>
  </si>
  <si>
    <t>Donkey named Birju burned by hot water in a deliberate act of cruelty</t>
  </si>
  <si>
    <t xml:space="preserve">The monkeys are tied with ropes around their necks. The madaari (controller) then forces them to walk on their hind legs, while carrying a stick behind their head. One monkey is made to pull and drag the other one from her/his tail. The monkeys are forced to dance, while the madaari wields his stick (as a threat). Finally, one monkey is made to pull a small two-wheeled cart, while the other monkey sits on it. </t>
  </si>
  <si>
    <t>Research Paper</t>
  </si>
  <si>
    <t>Pregnant donkey in brick kiln made to carry more than 200 pounds of bricks at a time, with inadequate rest, food, and water. Rescued under Animal Rahat's mechanisation programme</t>
  </si>
  <si>
    <t>4-5 days old male calf found abandoned on the road in harsh winter, after mother probably forcibly conceived. Rescued</t>
  </si>
  <si>
    <t xml:space="preserve">A 5 year old grey male donkey had been abandoned and had an amputated hind right leg.  </t>
  </si>
  <si>
    <t>Raja Garden</t>
  </si>
  <si>
    <t>Horse races organised at the Sarangkheda Horse Fair.</t>
  </si>
  <si>
    <t>Sarangkheda</t>
  </si>
  <si>
    <t>A 12 year old female horse had been abandoned on the roadside. She was weak and had severe nasal discharge (seemingly another wedding horse who was no longer ‘useful’ for the owner). She was euthanised at the Asswin Shelter</t>
  </si>
  <si>
    <t>Ghazipur</t>
  </si>
  <si>
    <t>Asssault by hard labour</t>
  </si>
  <si>
    <t>A working horse pulling a cart died when a car hit it.</t>
  </si>
  <si>
    <t>4 adult langurs were found stuffed in a gunny bag and dumped in a corner of a train toilet. Having travelled for almost 10 hours, the animals were gasping for breath when they were rescued by a forest department team. They were being smuggled from Lucknow in a Delhi-bound train.
Three persons were arrested. They accused said the langurs would have been sold in the Seelampuri market, where they are bought by RWAs and offices that are troubled by monkeys.</t>
  </si>
  <si>
    <t xml:space="preserve">Jay and Kishan, two bullocks were forced to carry a cart piled high with sugarcane—and blood could be seen dripping from Jay’s nose. They were both suffering from foot-and-mouth disease, a condition that causes painful blisters inside the mouth and on the hooves. Animal Rahat intervened and helped the owner to purchase a tractor to replace the bullocks. </t>
  </si>
  <si>
    <t>Donkey found abandoned by his owner and had a big open wound on his eye. Rescued</t>
  </si>
  <si>
    <t>- Local police officials raided the spot and rescued two male dogs-a Pakistani mastiff and a Pit Bull. An FIR was registered against a total of five persons of which two persons were arrested and three more are wanted.                                                                                                          -  The puppies are trained to attack and kill cats, rabbits or even pigs which are first slashed with knives so that smell of blood makes these pedigree dogs bloodthirsty.                                                                         - The dogs, which are trained for such fights, are tied to a pole and kept hungry for a long time so that they become irritated and angry. So, when a stabbed pig or a rabbit is brought near them, they attack that animal.                                                                                                                                  - Before a dog-fight, the trained dogs are injected with heavy doses of pain-killers so their bodies become numb as they rip out the flesh of other dogs. Many dogs die in such fights.</t>
  </si>
  <si>
    <t xml:space="preserve">Dilawarpur village in Tarn Taran district
</t>
  </si>
  <si>
    <t>Bullock (Rohak) had a constantly watering eye. On Animal Rahat's intervention it was found that Rohak’s eyeball was permanently damaged. Surgery was provided.</t>
  </si>
  <si>
    <t>Shane, a donkey, suffered cut tendons from a cord tying his front leg to his hind leg, rescued.</t>
  </si>
  <si>
    <t>Horse found abandoned near a river bed. He was brutally injured, and skinny to the point of starvation. He had been abused as a working animal. When he was not working, his front and back legs were tied together so that he couldn't travel far. They tied his legs so brutally, that the rope cut through his skin—to the point where his bones were visible. He could barely walk; maggots had infested the wounds on his legs.</t>
  </si>
  <si>
    <t xml:space="preserve">
Bleeding donkey found in a construction site. His legs had been tied with knife sharp plastic tapes—he could hardly walk. Maggots were buried beneath at least 5 separate ropes. Some of the ropes were so deep that his skin had grown over them. Animal Aid Unlimited found the donkey and provided treatment. </t>
  </si>
  <si>
    <t>Cow neglected after car accident, rescued</t>
  </si>
  <si>
    <t xml:space="preserve">Thechikottukavu Ramachandran is a 54-year old elephant who is partially blind, owing to being poked in the eye by a mahout. As many as 13 people have been killed in accidents involving Ramachandran. The chief wildlife warden put a ban on parading the elephant after he was found medically unfit by a five-member committee. Yet under pressure from the public and administration, the Thrissur district collector relaxed the ban for an hour so that he can participate in temple rituals on the eve of Pooram. The temple board continues to parade him, because he still fetches around Rs 2 lakh a day. </t>
  </si>
  <si>
    <t>Thrissur district</t>
  </si>
  <si>
    <t>Nine horses being abused for illegal rides. There was use of illegal spiked bits, which are used to lacerate horses’ mouths in order to control them. They were also whipped and beaten with a “chabuk” to make them run. Further, the joyrides were in defiance of the Bombay HC order banning this practice. Mumbai Metropolitan Magistrate’s Court, Esplanade granted PETA interim custody of the horses.</t>
  </si>
  <si>
    <r>
      <t xml:space="preserve">- Illegal animal races (including dog, horse, and mule cart races) were scheduled to take place on 12 and 13 April at the Kila Raipur Sports Festival. Following PETA India's complaints, Ludhiana police department issued a report to Deputy Commissioner Pradeep Agrawal recommending that these races be prevented from going ahead.                                                                                                          - </t>
    </r>
    <r>
      <rPr>
        <u/>
        <sz val="12"/>
        <color theme="1"/>
        <rFont val="Arial"/>
        <family val="2"/>
      </rPr>
      <t>Dog races</t>
    </r>
    <r>
      <rPr>
        <sz val="12"/>
        <color theme="1"/>
        <rFont val="Arial"/>
        <family val="2"/>
      </rPr>
      <t xml:space="preserve">: Dogs used for racing are often kept confined to small kennels and may be abandoned or killed when they’re deemed too slow. During practice sessions, they may be kept hungry and coerced into running faster by being made to chase live animals such as rabbits.                                                                                                                                                                    - </t>
    </r>
    <r>
      <rPr>
        <u/>
        <sz val="12"/>
        <color theme="1"/>
        <rFont val="Arial"/>
        <family val="2"/>
      </rPr>
      <t>Equine races</t>
    </r>
    <r>
      <rPr>
        <sz val="12"/>
        <color theme="1"/>
        <rFont val="Arial"/>
        <family val="2"/>
      </rPr>
      <t xml:space="preserve">: Horses and mules used for racing are often injured, sick, or severely malnourished. Many suffer from foot abnormalities as a result of poor hoof care and farriery practices, and being made to run at speed only aggravates these and other foot and leg conditions. These animals are commonly forced to stand amidst their own waste in filthy, decrepit stables and denied adequate water and necessary veterinary treatment. </t>
    </r>
  </si>
  <si>
    <t>AWO witnessed 3 elephants, 2 camels, 3 dogs, 2 sulphur crested cockatoo, 2 scarlet macaw used in circus</t>
  </si>
  <si>
    <t>Sloth bears are targeted by poachers for their body parts and to be traded as live animals for Street performance. Five sloth bear were seized from wildlife traffickers, in a joint operation by UP forest division and Wildlife SOS. The offenders had smashed the teeth of the bears with metal rods and mutilated the muzzles to insert a rope to train the bears for Street performance.
Organ of bears are also used in making of Chinese traditional medicine. “Bear bile, gall bladders and other body parts are used in Chinese traditional medicine and make the bear a vulnerable target for this reason,” said a member of rescue team.</t>
  </si>
  <si>
    <t>Working Animal</t>
  </si>
  <si>
    <t>Cow shot dead in land dispute. Another cow critically wounded. Case booked against 2, absconding</t>
  </si>
  <si>
    <t>Three persons have been booked by the Pimpri-Chinchwad police for allegedly organising a bullock cart race.</t>
  </si>
  <si>
    <t>Alandi, Pune</t>
  </si>
  <si>
    <t>Bull and oxen race was scheduled to take place on Nov 25. PETA's Emergency Response Team worked with deputy commissioner of Ludhiana and local authorities to get the event cancelled.</t>
  </si>
  <si>
    <t>Shanker village in Dehlon Tehsil, Ludhiana</t>
  </si>
  <si>
    <t xml:space="preserve">The police have registered a case under s.188 IPC and s.11 PCA Act against the organisers of a bullock cart race. </t>
  </si>
  <si>
    <t>Khed district, Pune</t>
  </si>
  <si>
    <t>Mathura administration to deploy langurs to keep monkeys away during President Ramnath Kovind’s visit to Vrindavan’s Banke Bihari temple.</t>
  </si>
  <si>
    <t xml:space="preserve">Two monkeys used for begging by person; who’s tied them with extremely short ropes </t>
  </si>
  <si>
    <t>Shahdara</t>
  </si>
  <si>
    <t>The farmers could not afford to keep the aged and sick bull and thus decided to kill him in a brutal manner. A man operating a bulldozer is seen hitting, pushing, crushing and finally killing the bull.
The bull tried to escape and bellowed loudly in pain. However, the driver cornered and trapped the bull, while continuously hammering the animal with the shovel in the front and the digging arm at the rear of the crawler. After several powerful hits of the shovel on the bull's back, head and body, the animal finally succumbed to the blows.
Police has booked 2 absconding persons.</t>
  </si>
  <si>
    <t>Indapur</t>
  </si>
  <si>
    <t xml:space="preserve">Injured bull; bleeding terribly from horn, mouth, and near the eye. </t>
  </si>
  <si>
    <t>Panipat</t>
  </si>
  <si>
    <t>Instagram (Wildlife SOS)</t>
  </si>
  <si>
    <t>Like all other dancing bears, Raju must’ve been stolen from his mother when he was as little as one week old. Raju is a 4-year old sloth bear. There is a hole in his nose, which would’ve been made with a red-hot poker being pierced right through to pass a rope. The controller would then make him dance by tugging on that rope. The bear would dance for upto 10 hours a day. His nose is pierced repeatedly, his teeth are violently yanked out, and he would spend much of his life tethered to a rope just a few feet long.</t>
  </si>
  <si>
    <t xml:space="preserve">A wedding horse in Meerut spotted with a huge wound on his back—which is also the spot from where he was tied to the chariot. The other horse has injuries on both his feet. </t>
  </si>
  <si>
    <t xml:space="preserve">
Meerut</t>
  </si>
  <si>
    <t>A monkey kept captive by a dhaba owner for manual labour. In the video circulation online the animal can be seen washing dirty dishes.</t>
  </si>
  <si>
    <t>Person dressed up as sadhu is carrying a langur around for begging; the langur is tied to a rope and has his face smeared with saffron colour. In the video, the langur even gets bit by a dog.</t>
  </si>
  <si>
    <t>Cobra being used for begging. The woman has kept the animal in a cramped box.</t>
  </si>
  <si>
    <t>Ajmer</t>
  </si>
  <si>
    <t>Around 100 Bedia families live in Poradih, and almost all of them are involved in catching and handling snakes in some way. The charmers in Bedia primarily work with Indian cobras. The cobra is poisonous, so the snake charmers often de-fang or de-venom their snakes. 
Snake charmers torturously use a knife to remove a snake's venom sac to ensure that a snake bite won't be fatal.  That process can be crude and has to be repeated multiple times throughout a snake's life (sacs refill once they've been emptied). Alternatively, many snake charmers remove the snake's fangs, or sew the snake’s mouth shut. 
Without fangs, a snake is unable to eat, and so they slowly starves to death over the course of weeks or months. Charmers say they can always find another snake when one dies.</t>
  </si>
  <si>
    <t>Poradih village</t>
  </si>
  <si>
    <t xml:space="preserve">Event organised in which some cows, bulls, and piglets were made to fight each other. The event was organised by some locals on Govardhan Pooja festival, and the police have registered a case against unknown accused, under sections 120B, 268, 429 IPC and sections 3 and 11 of PCA Act. In the cruel event, cows were made to fight with piglets
</t>
  </si>
  <si>
    <t>The Ghaziabad Police caught two men smuggling five rare owls cramped in plastic bucket, worth around Rs 1 crore. The owls were being delivered to an occultist for sacrifice during the night of Diwali. 
Mail Today found several private accounts on social media websites, especially Facebook where people are openly selling owls ranging from Rs.10,000 up to several lakhs. Also, some pet shop owners, who usually sell fish and aquariums, are illegally arranging owls for their customers. Jama Masjid has become a hub where people buy owls with an ease.</t>
  </si>
  <si>
    <t xml:space="preserve">An abandoned injured bull with a profusely bleeding tail. </t>
  </si>
  <si>
    <t>BSP workers made Ramji Gautam, the national coordinator, sit on a donkey and paraded him and former state unit chief Sitaram outside the party office. This was done to protest the alleged corruption in ticket allocation in the 2018 Rajasthan Assembly polls.</t>
  </si>
  <si>
    <t xml:space="preserve">A group of blindfolded men are in a ring, trying to catch a piglet. The men are diving and grabbing all around, while the piglet is running in distress. The audience is constantly shrieking and yelling, certainly creating an intimidating atmosphere for the piglet.  </t>
  </si>
  <si>
    <t>Tuli</t>
  </si>
  <si>
    <t xml:space="preserve">The police have arrested four people for engaging in a game of cockfight and betting over it. The police seized around eight roosters, two swords and Rs 7,130 from them.
</t>
  </si>
  <si>
    <t>Kasaragod</t>
  </si>
  <si>
    <t>Hippopotamus</t>
  </si>
  <si>
    <t xml:space="preserve">PETA India investigations reveal that the hippo has been held in isolation in a cramped enclosure, in violation of the CZA‘s minimum enclosure dimensions and guidelines for mandatory social enrichment; the tiny water tank in his enclosure contained only filthy, murky water and had hard concrete flooring, which could cause him to develop arthritis. The Delhi HC has ordered the Asiad circus to reveal the whereabouts of the hippo who is apparently being held in illegal isolation. </t>
  </si>
  <si>
    <t xml:space="preserve">Horse and bull race competition to be organised in Aurangabad. In the video, the horse and the bull are tied to the same cart, while the rider whips them both to run faster. </t>
  </si>
  <si>
    <t xml:space="preserve">A dhirio (bull-wrestling) event, involving lakhs of rupees as bets, was scheduled to take place in the outskirts of Saligao-Nagoa. But the police took proactive steps to prevent the fight from going ahead.  </t>
  </si>
  <si>
    <t>Saligao-Nagoa</t>
  </si>
  <si>
    <t>A dangerous bullock cart race was organised by the villagers, in which scores of bikes could be seen competing with bullock carts—and performing stunts. 
FIR lodged under IPC s.307 (attempt to murder) and 279 (rash driving on public way).</t>
  </si>
  <si>
    <t>Assault for Entertainment/Tradition</t>
  </si>
  <si>
    <t>In Shil village of Mangrol taluka, people played ‘garba’ (Gujarati folk dance) with live snakes. The police arrested five persons including two minors, the organizer and another person who is a snake catcher, for playing garba with endangered snakes. The accused had removed the cobra's fangs to make him/her non-poisonous. 
Sunil Berwal, deputy conservator of forest, Junagadh said, "As per local tradition, people of this community play garba with snakes, which has been prohibited under the law.”</t>
  </si>
  <si>
    <t>Despite restrictions from the Kerala Forest Department, two elephants were paraded at Guruvayur Sri Krishna Temple in connection with the Guruvayur Ekadasi related rituals. Padmanabhan, aged above 80, is suffering from foot diseases and Valiya Kesavan, aged around 50, has tuberculosis-related ailments--hence use of the two animals for any event is prohibited.</t>
  </si>
  <si>
    <t xml:space="preserve">Thrissur district
</t>
  </si>
  <si>
    <t>A 10 year old female horse had been abandoned; she had deformed hooves and severe nasal discharge. She was unable to stand. Equine vet euthanised her.</t>
  </si>
  <si>
    <t xml:space="preserve">A horse fell on his mouth due to overloading; as a result all his teeth broke--and the photo shows a pool of blood around. </t>
  </si>
  <si>
    <t>Report by the National Research Centre on Equines (NRCE), states that eight wedding horses in Mangolpuri and Neb Sarai tested positive for glanders.</t>
  </si>
  <si>
    <t xml:space="preserve">Camel being abused for joyrides near Charminar, Hyderabad. She is suffering from a terrible skin disease; there are no hair on her body—the skin is like concrete. She also looks malnourished. </t>
  </si>
  <si>
    <t>A 10 year old female horse had a fractured hind left leg and was abandoned.</t>
  </si>
  <si>
    <t xml:space="preserve">Three elephants were being transported to the state-run MR Palayam elephant rehabilitation centre in Trichy, on the orders of the Madras HC. A team of mahouts from Annamalai Tiger Reserve in Pollachi was roped in to transport the elephants. A video shows the mahouts using whips and bullhooks (elephant goad) to force the elephants to get into the trucks. Indu, a 50 year old elephant, was whipped by a mahout hired by WRRC when it refused to board the truck.
</t>
  </si>
  <si>
    <t>Marakkanam, Chennai</t>
  </si>
  <si>
    <t>A 3 year old brown male donkey had been abandoned. His hind and front left legs had been fractured and he was unable to raise himself to his feet. Despite medical treatment, he passed away 2 days later.</t>
  </si>
  <si>
    <t>A 7 year old grey female donkey had been abandoned, with maggots having infested the wounds on her front legs</t>
  </si>
  <si>
    <t>Pataudi</t>
  </si>
  <si>
    <t>Assault for Entertainment/Sports</t>
  </si>
  <si>
    <t xml:space="preserve">Three fighter bulls were brought and tied up for the bull fight event. One of the bulls broke free from its bindings and gored into a youngster's pelvis. The police said they would conduct a preliminary inquiry into the issue. </t>
  </si>
  <si>
    <t>Velha village</t>
  </si>
  <si>
    <t xml:space="preserve">Horse tied to overloaded cart. Video shows horse hanging in the air in pain and struggle. </t>
  </si>
  <si>
    <t xml:space="preserve">FIR registered against Nationalist Congress Party (NCP) MLC Prakash Gajbhiye’s ganesh mandal for inflicting cruelty on animals during Ganeshotsav. Gajbhiye was accused of “torturing bullocks” while transporting the idol. The idol was so huge that it took about 4-5 hours for them to reach the spot and the bullocks were not even disengaged on regular intervals. One of the passersby said, “A stick got stuck in the horns of one buffalo and it started panicking. I got scared to see the cart owner brutally beating the animal.” </t>
  </si>
  <si>
    <r>
      <t xml:space="preserve">3-4 camels being used for joyrides at </t>
    </r>
    <r>
      <rPr>
        <i/>
        <sz val="12"/>
        <color theme="1"/>
        <rFont val="Arial"/>
        <family val="2"/>
      </rPr>
      <t xml:space="preserve">ram-leela </t>
    </r>
    <r>
      <rPr>
        <sz val="12"/>
        <color theme="1"/>
        <rFont val="Arial"/>
        <family val="2"/>
      </rPr>
      <t xml:space="preserve">event without any license; their nostrils have torn from excessive pressure applied through nose pegs. Further, maggots have infested their noses. Their back legs are also wounded. PFA Delhi rescued the camels. </t>
    </r>
  </si>
  <si>
    <t xml:space="preserve">Madhu Vihar </t>
  </si>
  <si>
    <t xml:space="preserve">Sick donkey left stranded on the highway. His back was burned by boiling water, and maggots were consuming his burned skin. Rope burns cut into his legs. The owner had also tied his legs together to prevent him from escaping. 
</t>
  </si>
  <si>
    <t>A person was riding the horse at high speed and rammed it head-on with a private bus. The suffered grievous injuries and died on the spot. The rider escaped with minor injuries.</t>
  </si>
  <si>
    <t>Confinement, Assault and hard labour</t>
  </si>
  <si>
    <t xml:space="preserve">Madari keeps the baby monkey and mother tied to a wall. Local kids tease the baby and even hit him with sticks. </t>
  </si>
  <si>
    <t>Dilshad Garden</t>
  </si>
  <si>
    <t xml:space="preserve">One of the six camels rescued from being slaughtered on Eid al-Adha died due to local weather and stress, while awaiting court orders to be sent back to Rajasthan. "The local weather is not suited for camel. Despite my repeated requests, the camels are being kept under open sky since August 10. They are all under stress and infected by maggots on their nose, feet and body," said Sujeet Kumar Choudhary, State Animal Welfare Board of Rajasthan. </t>
  </si>
  <si>
    <t>Dhula</t>
  </si>
  <si>
    <t>Ornate Flying Snake</t>
  </si>
  <si>
    <t xml:space="preserve">Forest officials rescued a rare snake from a youth. He was seen showing the colourful snake and asking people for money. The person has been booked under the Wildlife Protection Act, 1972. </t>
  </si>
  <si>
    <t xml:space="preserve">Chameli is a blind and pregnant mare who had a huge wound on her leg. Her leg was horribly infected, ande almost eaten up by maggots. She was rescued by Animal Helpline Siliguri. </t>
  </si>
  <si>
    <t>Confinement</t>
  </si>
  <si>
    <t>A flying snake was kept in confinement and displayed for earning money by its 'owner'. The reptile was rescued and released into its natural habitat.</t>
  </si>
  <si>
    <t xml:space="preserve">The sight of haggard, fatigued dogs sprawled out on the floor as humans strive to attract their attention at this petting centre, the dogs there are chased, and quite often manhandled, by small and big humans for around eight hours, it indulges in exploitation of the animals which is in gross violation of animal rights
</t>
  </si>
  <si>
    <t>58-year-old Nandilath Arjun was found dead in his waterlogged tethering ground. The elephant looked skinny due to starvation and lack of care. In a similar incident, elephant Mukkomban Ganapathy, 56, was found dead due to starvation in its tethering place, also waterlogged, near the Neeleswaram church in the Kaladi-Malayattoor area.</t>
  </si>
  <si>
    <t xml:space="preserve">Wildlife SOS and the Uttar Pradesh Forest department conducted raids and rescued 34 snakes from snake charmers. With temperatures touching almost 33°C, all snakes were found suffering from severe dehydration and exhaustion. So far, the raids have led a recovery of a total of 101 snakes.
</t>
  </si>
  <si>
    <t>During festive days, a dehydrated horse found lying helplessly on roadside. The horse was kept and used as a working animal throughout her life and when she got ill, she was abandoned on roads to fend for herself. Horse was rescued and given medications.</t>
  </si>
  <si>
    <t>A 9 year old female donkey, with a wound on her forehead, was abandoned.</t>
  </si>
  <si>
    <t>Police seized 43 donkeys and 2 foals involved in an illegal sand-mining operation in Maharashtra. They had been forced to haul sandbags weighing as much as 200 kgs on their backs. Animal Rahat provided care while the animals were in police custody, and helped escort them to its partner sanctuary in the Nilgiri Hills.</t>
  </si>
  <si>
    <t>A donkey foal had been abandoned; he had a fractured front right leg.</t>
  </si>
  <si>
    <t>Baby monkey tied to a pole near bus stand; used for begging</t>
  </si>
  <si>
    <t>Kilpauk</t>
  </si>
  <si>
    <t xml:space="preserve">An injured donkey was abandoned and lying on the roadside for more than 4 days without food. </t>
  </si>
  <si>
    <t xml:space="preserve">A pregnant mare was abandoned on the road, with serious injuries on her back legs. Despite rescue operations and treatment, the mare could not survive. </t>
  </si>
  <si>
    <t>Salem</t>
  </si>
  <si>
    <t>Sixteen snakes, including 11 cobras, were rescued from snake charmers sitting outside various temples in Mathura and Vrindavan, on the first Monday of Shravan month. Mondays of the Shravan month of the Hindu calendar are considered to be auspicious by devotees of Lord Shiva. Due to Shiva’s frequent depiction with a serpent coiled around his neck, snake charmers often display their snakes at public gatherings, to seek alms from worshippers.
Doctors in Wildlife SOS said the snakes were in a dreadful condition, especially the cobras as they had been defanged and their venom glands had been extracted. The most horrifying condition was of the rat snake. One of the charmers had forcibly pierced a handful of mongoose hair through the snake's head to give him a 'more appealing look'.</t>
  </si>
  <si>
    <t>Mathura-Vrindavan</t>
  </si>
  <si>
    <t xml:space="preserve">Monkey being used for begging, and abused badly. He was harassed by burying his body in the sand, with only his head seen. </t>
  </si>
  <si>
    <t>Bull abandoned with injuries</t>
  </si>
  <si>
    <t>A man was seen using a wild cobra to perform 'stunts' in videos shared on social media. No action taken.</t>
  </si>
  <si>
    <t>Bargah</t>
  </si>
  <si>
    <t xml:space="preserve">
Two horses being exploited; they had spiked bits in their mouths, their feet had wounds being feasted by flies.
</t>
  </si>
  <si>
    <t xml:space="preserve">Kingsway camp </t>
  </si>
  <si>
    <t xml:space="preserve">Two men on a bike seen racing against two horses (tied to a chariot), on the main road. After some distance, one man tries to physically stop the horse. In doing so, the horse skids and painfully falls down. The man also falls on the main road. In the next video, the horse is seen brutally collapsed on the road. 
</t>
  </si>
  <si>
    <t xml:space="preserve">Donkey almost loses hoof; owner had tied his front and hind legs together with plastic packing tape and a rope to prevent him from escaping. The rope cut deeper the more he tried to break free. Animal Aid Unlimited found the donkey and took him to their hospital
</t>
  </si>
  <si>
    <t>Bulls forced to fight, with tacit permission of government in Goan traditional fight Dhirio. Just before the fight, itching powder is dusted on the bulls and they are hit so that they become aggressive. The only time they are left free is before a fight. Many suffer grievous injuries and many die. In this case, the bull died on the spot</t>
  </si>
  <si>
    <t>Agaccaim</t>
  </si>
  <si>
    <t>Used as a ‘begging elephant,’ Champa was forced to perform at weddings and religious ceremonies in Ahmednagar in addition to her ‘shift’ at the temple. The mahout in-charge of her care neither provided her with food or water, and she could be usually seen chained to a tree under the scorching sun. She is severely arthritic with advanced cataracts in both eyes, a deformed spine, and has lesions and abscesses all over her body as a result of years of mistreatment.
When she was found by ResQ, she had been chained to stand under the hot sun with no access to fresh food, water or even a resting mound for 60 days straight.</t>
  </si>
  <si>
    <t>Ahmednagar</t>
  </si>
  <si>
    <t>Donkey named Angelo collapsed when his legs were lacerated by plastic rope, tied together to prevent him from running away, and nearly ending his life. His owner was so negligent he didn't untie them even after they first started cutting into his skin, deeper and deepr until the rope reached the bone. Rescued</t>
  </si>
  <si>
    <t>Fore leg of bull was chopped off without anaesthesia by a government veterinarian and his unqualified paravet. Then the bull was left to die on Streets with no after care. PFA rescued the bull and sent him to Krishna Sudama Gaushala, Noida.</t>
  </si>
  <si>
    <t>Doves: the birds are dehydrated and stuck with double-sided tape inside a magician’s coat-sleeve between the shirt and coat fabrics.
A magician from Mumbai who “removes 6 doves out of thin air” has publicly stated that for a 12 minute act it take 2 hours to set up the equipment. This clearly indicates that the doves are hidden in suffocating conditions for a long time.
Canaries are far worse off. They have been known to be crushed to death to make them disappear. The ones that reappear elsewhere on stage are not the same birds.
Rabbit: deception can involve the magician literally pulling out a live rabbit which has been forcefully hidden for long in an unseen compartment of a table on which a trick top-hat has been placed.
Gold fish: The fate of the disappearing gold fish is horrible. A jar of water containing a small lonely fish is emptied into a fish tank over which a cloth is draped. Soon after when the cloth is taken off, the fish is no longer visible.
 It was deliberately killed by the strong acid which had been added to the fish tank water. The fish suffered and died, and then its body disintegrated and merged with the sand on the floor of the fish tank.</t>
  </si>
  <si>
    <t>Spiked bits were fit in the mouths of wedding horses in Delhi. Delhi police and PETA India intervened in cases of more than 50 horses, and replaced spiked bits with smooth ones. A non-cognisable offence report for multiple violations of PCA 1960 was registered against four horse owners by the Rajouri Garden police station.</t>
  </si>
  <si>
    <t>Tatarpur, Rajouri Garden, Moti Nagar, Mangolpuri, Sultanpuri, Nangloi Jat, Chhatarpur, and Maidan Garhi</t>
  </si>
  <si>
    <t>Calf pulled out from the womb by her leg, which caused a fracture. Abandoned</t>
  </si>
  <si>
    <t xml:space="preserve">An almost 60 year old elephant was used for begging and entertainment. The mahout had blinded her, by damaging both her eyes with pointed objects. The elephant was forced to walk despite noticeable injuries in both forelimbs. Her health was entirely neglected by the mahout. Severe deficiency of blood and the failure of kidneys led to a depleted health condition and consequently her death. A court has sentenced the owner and mahout for inflicting cruelty and ill-treatment on the animal. </t>
  </si>
  <si>
    <t>Sarangarh</t>
  </si>
  <si>
    <t>Assault by forced labour</t>
  </si>
  <si>
    <t>Ailing female elephant, brought from Uttar Pradesh, used for begging and entertainment eventually led to the animal's death. The animal was also found with damaged eyes. Owner and a mahout jailed by court in Raigarh district.</t>
  </si>
  <si>
    <t xml:space="preserve">55-year-old man booked under charges of attempt to commit culpable homicide and causing cruelty to animals for camping his two camels on BRTS (Bus Rapid Transit System) track
</t>
  </si>
  <si>
    <t>Chimpanzee</t>
  </si>
  <si>
    <t>- Director Don Sandy’s new movie Gorilla, features a real chimpanzee named Kong. PETA has pointed out how such films perpetuate animal cruelty.                                                                                                             - Great apes used in the film and television industries are commonly torn from their frantic mothers shortly after birth, leaving both mother and baby traumatised for life.                                                                               - Trainers often punch, kick, beat, and even electrically shock apes during behind-the-scenes training sessions in order to make them perform “correctly” in the fewest takes possible.                                                                                                                               - When chimpanzees reach adolescence and become too difficult to manage, they're typically relegated to cramped cages, where they face decades of loneliness and isolation.</t>
  </si>
  <si>
    <t>Parrot</t>
  </si>
  <si>
    <t>Jayaraj Pandey, a former parrot astrologer, had his parrot seized by Blue Cross two months ago. Pandey says he is in the process of acquiring a new parrot. “I still have my cage, and I plan to go back to telling fortunes soon.”
Avin Deen, the India representative for the World Parrot Trust, says many species of parrots are said to have the intelligence of a four-year-old child and can experience severe psychological and physical pain in captivity. Parrot astrologers clip their birds’ wings to fit them into their small cages. Trimming the bottom half of the wing causes no pain, but higher up on the wing it can cut blood vessels, which is excruciatingly painful for the bird.</t>
  </si>
  <si>
    <t>Police conducted a raid at Khutiguda weekly market following information regarding illegal cockfight betting.</t>
  </si>
  <si>
    <t>Khutuguda village, Nabarangpur District</t>
  </si>
  <si>
    <t xml:space="preserve">A female elephant (Malachi) was being used for begging by the wife of a mahout. She was not fed properly and made to walk on hot tar roads. Both her front and back legs were tied using heavy chains. A Mahout, while riding Malachi had touched an overhead electrical wire, had been thrown off and consequently died. Even Malachi had suffered, due to electrocution. A division bench of the Madras HC directed the principal chief conservator of forests and the chief wildlife warden to immediately take possession of the elephant. </t>
  </si>
  <si>
    <t>Man named Maninder Singh Issar trains dogs to kill free cats and records them being brutally killed by his dogs. He provokes his dogs and laughs at these cats being killed. He does this purely for entertainment and to get more subscribers on YouTube.</t>
  </si>
  <si>
    <t>Working animals such as bullocks, donkeys, horses, and camels are highly affected by air pollution, since they're on the road throughout the day inhaling polluted air emitted from the vehicles that surround them. In Delhi, there are approximately 250 bullocks labouring in 20 market yards and some 150 horses pulling carriages in seven areas. Desperate owners force animals to work even when the air is polluted, they're sick, or they've been injured in traffic accidents. They use whips, painful nose ropes, and spiked bits to force them to haul overloaded carts.                                                                                                                                                               - PETA has written a letter to Arvind Kejriwal seeking a ban on tongas and bullock carts.</t>
  </si>
  <si>
    <t>Video shows a group of men beating a pair of bulls, mishandling them brutally, tying and hitting them with a rope and making the bulls fight each other.</t>
  </si>
  <si>
    <t>Photos from a ram-leela event in Rohini show animals being exploited for joyrides.</t>
  </si>
  <si>
    <t>Rohini Sector 15</t>
  </si>
  <si>
    <t xml:space="preserve">Upper caste attackers stoned a Dalit man’s marriage procession for riding a horse. The horse was brutally injured in the stone-pelting and died 15 days later. </t>
  </si>
  <si>
    <t>Khambhisar</t>
  </si>
  <si>
    <t>Koilidabar hamlet, located deep in the forest area of Satpura hills, does not have any road connectivity. Tankers cannot reach the hamlet due to the difficult rocky terrain.
The administration is using 17 donkeys to carry water uphill. The animals are making two trips providing about 1,000 litres of water daily.</t>
  </si>
  <si>
    <t>Nandurbar</t>
  </si>
  <si>
    <t>Juvenile Bonnet Macaque had a leash around its neck</t>
  </si>
  <si>
    <t xml:space="preserve">PETA India’s Emergency Response Team worked with the Deputy Commissioner and the Senior Superintendent of Police of Moga, to prevent the bullock cart races from taking place. Investigations conducted by PETA India reveal that during bullock cart races, bulls are often beaten mercilessly with wooden sticks that are spiked with nails in order to get them to run faster in the sweltering heat and that their tails are twisted and snapped, causing them extreme pain and leaving them covered with blood. </t>
  </si>
  <si>
    <t>Villages of Takhanwadh and Chuhar Chak, Moga district</t>
  </si>
  <si>
    <t xml:space="preserve">PETA India and Thane Rural Police prevented a bullock cart race event. </t>
  </si>
  <si>
    <t>Shahapur</t>
  </si>
  <si>
    <t xml:space="preserve">Bunty was used as a live prop at a theme-event planner’s site in Goa and was rescued after his mate died of starvation. He barely had a hump, which means he too was starved for a very long time. Further, he had a painful infected nose pin that was digging into his flesh like a spear. 
The camel also had a wound on its elbow, which seemed to be due to self mutilation as a result of hunger and pain. He was rescued by WVS Hicks ITC 
</t>
  </si>
  <si>
    <t>Milaap-Fund Raiser</t>
  </si>
  <si>
    <t>Spirit is a load-bearing horse. Unable to carry the load of the cart she was pulling, her legs giving way, ribs showing, her body pierced with open wounds and sores, the horse cart owner continued to whip her. She was also blind in one eye. Hariharan Karimanal intervened to rescue her.</t>
  </si>
  <si>
    <t>Raxaul</t>
  </si>
  <si>
    <t>To make the pandal look more “natural”, the Kalibari Durga Puja committee has installed several cages with around three hundred exotic birds in them. A video was uploaded on social media which featured loud music playing around the birds. Some also posted images of dead birds. Local BJP MLA Mihir Kanti Shome, who also inaugurated the pandal, said “These birds are raised artificially and meant for entertaining people. They are exotic pets sold legally all around the world and are kept in many houses, so I don’t see anything wrong in using them as a part of decoration. We have laws for protecting Indian birds and animals but these are foreign breeds and I don’t think there is any existing guideline for them.”</t>
  </si>
  <si>
    <t>Silchar</t>
  </si>
  <si>
    <t>Police arrested seven persons for taking part in bullock cart race. 4 bullocks who were subjected to cruelty during the race were rescued. FIR filed under s.11 of PCA Act, s.12A of the Bombay Prevention of Gambling Act, s.119 of Bombay Police Act, and s.188 IPC.</t>
  </si>
  <si>
    <t>Shiravli village, Panvel taluka</t>
  </si>
  <si>
    <r>
      <t xml:space="preserve">John Glady, a finalist from </t>
    </r>
    <r>
      <rPr>
        <i/>
        <sz val="12"/>
        <color theme="1"/>
        <rFont val="Arial"/>
        <family val="2"/>
      </rPr>
      <t>Naalaya Iyakkunar</t>
    </r>
    <r>
      <rPr>
        <sz val="12"/>
        <color theme="1"/>
        <rFont val="Arial"/>
        <family val="2"/>
      </rPr>
      <t xml:space="preserve"> Season 5 (TV show featuring short films made by aspiring filmmakers), is coming out with a film based on pigeon racing, titled </t>
    </r>
    <r>
      <rPr>
        <i/>
        <sz val="12"/>
        <color theme="1"/>
        <rFont val="Arial"/>
        <family val="2"/>
      </rPr>
      <t>Byri</t>
    </r>
    <r>
      <rPr>
        <sz val="12"/>
        <color theme="1"/>
        <rFont val="Arial"/>
        <family val="2"/>
      </rPr>
      <t>. John says, "The pigeon races are very popular in Nagercoil in Kanyakumari district and people have been playing this sport for more than 100 years...Till a decade ago, pigeon fanciers were conducting races regularly in south Tamil Nadu."</t>
    </r>
  </si>
  <si>
    <t xml:space="preserve">In this event, pairs of bulls were hitched to the same cart and forced to race—while being continuously whipped. This was done to celebrate the 85th year of the flower festival. </t>
  </si>
  <si>
    <t>Sivaganga</t>
  </si>
  <si>
    <t>Assault by hard Labour</t>
  </si>
  <si>
    <t>Injured horse being used in wedding procession, rescued</t>
  </si>
  <si>
    <t>Horse Carriage was being taken for a wedding ceremony where two horses were found in a pathetic condition without food and water, rescued</t>
  </si>
  <si>
    <t>A langur was tied with a rope at the corner of the boundary wall of River Heights, a condominium in Raj Nagar Extension. The forest department has registered a case against president and AOA of the society.</t>
  </si>
  <si>
    <t>Youth Congress workers have turned a buffalo into a walking billboard by scribbling election slogans on her, and parading her in the village. They said that it was a unique style of seeking votes from people which doesn't cost them anything hence, they felt no responsibility to show records to the election commission.</t>
  </si>
  <si>
    <t xml:space="preserve">About 500 horses expected to participate in the 133rd ‘Racing Season-2019’ at Ooty. The total stake money announced by the Madras Race Club is around Rs 7 crore.
</t>
  </si>
  <si>
    <t>Ooty</t>
  </si>
  <si>
    <t>FIR lodged against Great Bharat Circus for illegally using animals like camels, dogs, horses and emus for performance. Investigation revealed abuse of a horse, a mule, two camels, seven dogs, and two emus.
FIR lodged under section 188 of IPC, sections 11(1)(a) and (b), 22 and 26 of PCA.</t>
  </si>
  <si>
    <t>Panvel, Mumbai</t>
  </si>
  <si>
    <t>Abandoned bull wandering on the Streets with a huge wound on his hoof. There was a stone lodged deep into his hoof, with over 100 maggots in it. There was a painful rope through his nose. Rescued and taken to the Welfare For Animals in Goa (WAG) Shelter</t>
  </si>
  <si>
    <t>Two people were caught smuggling two snakes of the red sand boa species, which is a rare and protected species in India. “Typically, the snakes are obtained from Rajasthan and Madhya Pradesh, and sold to interested parties in other States,” an officer with the Palghar Crime Branch said. 
They are in high demand in the black market as, according to superstition, they lead the owner to hidden treasure and causes a shower of rain if used in certain black magic rituals. They are also sold on the black market in Malaysia and China for use in traditional medicine, where they sells for as high as ₹4 crore.</t>
  </si>
  <si>
    <t>Palghar</t>
  </si>
  <si>
    <t>PETA, along with Raigad police officials, stopped an illegal bullock cart race from taking place. During races, participants often beat bulls mercilessly with nail-studded wooden sticks in order to make them run in the sweltering heat and commonly twist and bite their tails, causing them immense pain. Such events are also a threat to public safety. A city-basd activist said, "Some of the local villagers in Panvel taluka, Raigad district, are also holding such illegal races during festivals or certain weekends."</t>
  </si>
  <si>
    <t>Alibag</t>
  </si>
  <si>
    <t xml:space="preserve">At kumbh mela (fair), a sadhu was travelling on a horse-driven chariot. The horse collapsed due to exhaustion. After multiple efforts, the horse still could not get up. Upon being taken to the hospital, he was declared dead. 
</t>
  </si>
  <si>
    <t>Cow found with bloodied wounds, maggots, roaming the Streets in pain because a farmer had tied her horns and nose with a tight rope when she was a calf, and then abandoned her. This caused severe injuries as she grew</t>
  </si>
  <si>
    <t>Cattle kept in unhygenic condition and ill treated. AWO counselled owner on how to keep the animals in a better condition but ignored and condition worsened. CUPA sent warning letter and asked that the cattle be handed over. Owner refused, but cattle was found to be healthy and in a better condition on next visit</t>
  </si>
  <si>
    <t>The viral video shows an elephant tied to a tree being thrashed by two men using canes. As the tusker refuses to perform, one of the men is seen beating him with a cane, while another is seen poking his leg with a stick, trying to force him to stand up. The pachyderm is seen lying on the ground after some time, but the physical abuse doesn’t stop.</t>
  </si>
  <si>
    <t>Piero's (a donkey) ear is damaged and hanging. Owner must have broken his ear to identify him or to "discipline" him. His leg wound was caused by ropes which had bound together two of his legs, to control his ability to run. The material used to hobble him was probably sharp packaging plastic, and it cut him terribly. Rescued</t>
  </si>
  <si>
    <t xml:space="preserve">Lokesh Sattigeri, 9-year old school boy, was riding a horse in a race, when both he and the horse fell. The horse had a terrible fall, where its face hit the ground. But then the horse got up and kept running (while it was being chased by bikes). The young boy, who got on one of these bikes, then climbed back on the horse—and won the race. 
Lokesh has won at least 10 races in various fairs organised across the district in three years. He is locally referred to as Bahubali and said, “I do it to feed my family and feel good about it.” According to one horse-riding coach, there are 8-10 horse race events during fairs and other public events every month in Belagavi district. Winner gets Rs.5000 as prize money. </t>
  </si>
  <si>
    <t>Vaddarahatti village, Gokak taluk, Belagavi</t>
  </si>
  <si>
    <t>Donkey race held in Karimaddula village; donkeys running with loaded sacks tied to their backs and people with sticks/whips chasing the animal.</t>
  </si>
  <si>
    <t>Karimaddula</t>
  </si>
  <si>
    <t xml:space="preserve">Illegal bullock cart race scheduled in Shahapur. PETA India worked with local police to stop the race. Animal rights activists claim that such illegal bullock cart races have become common across the state and many taking place in the interior regions continue to go unnoticed.
</t>
  </si>
  <si>
    <t>Ambarje village, Shahapur</t>
  </si>
  <si>
    <t xml:space="preserve">Bully Kutta dog fight on tiktok. </t>
  </si>
  <si>
    <t xml:space="preserve">Vishal Pancholi, resident of Udaipur, made a donkey tow his MG Hector car (weighing over 1500kg) to make a “symbolic” statement against the car being inept. </t>
  </si>
  <si>
    <t xml:space="preserve">Madari using a monkey for performance, while there is another monkey tied to a rope next to him. This monkey is forced to walk on his hind legs, with a rope tied around his neck. The madari is also seen holding a wooden stick, which is perhaps used for beating and disciplining the monkeys. 
</t>
  </si>
  <si>
    <t>Ballabgarh</t>
  </si>
  <si>
    <t>Donkey found with a severe maggot wound on the top part of his tail. He was abandoned by his owner, most probably due to not being able to afford his treatment. Rescued</t>
  </si>
  <si>
    <t>Donkey's legs tied together with a rope, and when he moved, the rope cut into his flesh and bore in so deeply that when he collapsed with pain, it was difficult to even find the rope. Maggots covered the wound site. The thin jute rope had been tied by his owner to prevent him from escaping, but with every step it dug a deeper groove in his flesh, and finally, it nearly killed him. Rescued</t>
  </si>
  <si>
    <t xml:space="preserve">Equine being used as load-bearing animal, with a cart tied to his back. Car crashed into the cart—leaving the equine hanging in mid-air, almost choked by the cart. 
</t>
  </si>
  <si>
    <t xml:space="preserve">Horses abandoned by their owners in Udhagamandalam town continue to roam the Streets, putting themselves and motorists at risk of serious injury. One of the residents mentions that there have been a number of accidents involving motorists and the horses. </t>
  </si>
  <si>
    <t>Udhagamandalam</t>
  </si>
  <si>
    <t xml:space="preserve">Marwari horse race organised at Pune Race Course. Races were part of the fourth edition of the Marwari Horse Show.
</t>
  </si>
  <si>
    <t>Calf and bull racing events were organised on 3rd and 5th April 2019. PETA's Emergency Response Team worked with local authorities to get both events cancelled. PETA has filed a petition challenging the Prevention of Cruelty to Animals Act (Punjab Amendment) Bill, 2019, which would allow bullock cart races to be held at the annual Kila Raipur Sports Festival held near Ludhiana.</t>
  </si>
  <si>
    <t>Bachhauri village, Shaheed Bhagat Singh (SBS) Nagar district</t>
  </si>
  <si>
    <t xml:space="preserve">Two men taking two large bulls, holding them with long pieces of rope, for a bull-fight in Pernam.  </t>
  </si>
  <si>
    <t>Pernam</t>
  </si>
  <si>
    <t xml:space="preserve">The donkeys have stuffed sacks tied to his/her body. They are forced to run, while people whip them. Another person pulls them from the front-with reins tied to their mouths. </t>
  </si>
  <si>
    <t>Kurnool</t>
  </si>
  <si>
    <t>Rekla (bullock cart) race was scheduled to take place. PETA worked with the DSP to prevent the illegal event from being held.                                    - PETA India’s investigation shows bulls being electroshocked, roughly pulled by their nose ropes, and beaten and jabbed with nail-tipped, pointed wooden sticks and their tails being bitten and yanked to make them run faster. Bull pairs crashed to the ground and into barricades during the races, and the animals were denied basic necessities, including food, water, and protection from the sweltering heat. In addition to causing the animals involved immense fear, pain, and distress, rekla races pose a serious threat to public safety.</t>
  </si>
  <si>
    <t>Andiakavundanur village in Tiruppur district</t>
  </si>
  <si>
    <t>Cock fights held in melas (fairs) of Bastar. The roosters are place in a ring of barbed wire (presumably to prevent them from escaping until one kills the other). The birds have steel spurs on the back of their legs. Attendees gamble on these fights. The winner keeps the losing cock and the prize money.</t>
  </si>
  <si>
    <t>Bastar</t>
  </si>
  <si>
    <t>A cow that was let into the arena tripped on her own leash and fell (likely to happen when the leash is shorter than the prescribed 3 metres). She died as her head twisted after hitting the ground. In the other incident, two bulls that were made to run in opposite directions, rammed each other. While one bull died on the spot, the other suffered critical injuries.</t>
  </si>
  <si>
    <t>Uddanapalli</t>
  </si>
  <si>
    <t>Cow tied on the road 24/7, left in the rain without any shelter</t>
  </si>
  <si>
    <t xml:space="preserve">Kerala Forest and Wildlife Department has assigned a committee to test a new torture device invented in order to control elephants used for performances from as far as 75 feet away. The committee will test it on 10 male elephants. The cruel contraption uses a nylon belt fitted with a remote-controlled device that tightens around an elephant’s legs at the press of a button, locking the animal firmly in place. This barbaric test would cause tremendous stress to a protected wild animal. 
</t>
  </si>
  <si>
    <t>Vulva of Pony sowed with a copper wire.</t>
  </si>
  <si>
    <t>Sangli</t>
  </si>
  <si>
    <t>Horse made to pull cart sustained deep wounds and untreated infection as a result of pulling heavy loads for long hours without any rest. Seized and taken to shelter</t>
  </si>
  <si>
    <t xml:space="preserve">On her campaign trail, Congress leader Priyanka Gandhi Vadra met snake charmers in Raebareli. She even played with one of the snakes, assuring onlookers “Nothing will happen, it’s fine”. </t>
  </si>
  <si>
    <t>Raebareli</t>
  </si>
  <si>
    <t>Mani Bhushan Sharma, an independent candidate rode a donkey to file his nomination papers to contest the Lok Sabha election. He said he rode the donkey to show a mirror to mainstream politicians who consider the common people stupid like donkeys. The police have filed an FIR under PCA Act.</t>
  </si>
  <si>
    <t>Jehanabad</t>
  </si>
  <si>
    <t>PETA has written letter to heads of all national &amp; regional political parties urging them to abide by the ECI's 'Manual on Model Code of Conduct' (MMCC) which advises political parties and candidates to refrain from using any animals for election campaigns. PETA had previously found gross animal cruelty during election rallies--animals are terrified by being forced into the middle of screaming crowds. They're often beaten, whipped, kicked, and terrorised while being paraded through the Streets and forced to endure shouting and pushing. They're also often forced to carry loads in excess of that which they can safely handle and denied adequate food and water, and they can be seriously injured in the mayhem.</t>
  </si>
  <si>
    <t xml:space="preserve">Colonel Surinder Singh Grewal, president of the panel, said that “Except the bullock cart race, the sports committee will organise all other events, from dog race to horse race, in this session because the district administration is ready to give a no-objection certificate soon.”
</t>
  </si>
  <si>
    <t>More than 100 bulls participated in the bull run inaugurated by Labour Minister Nilofer Khafeel. A bull named ‘Vayuputhran’ owned by former MLA Kovi Sampath fell into a ground level open well, as he was not able to stop after the run—and died.</t>
  </si>
  <si>
    <t xml:space="preserve">Jallikattu held at Pakkampalayam village near Odugathur. 4 bulls fell down in the spectator created melee and were injured. 32 spectators were also injured, with 2 persons suffering serious injuries </t>
  </si>
  <si>
    <t>Odugathur, Vellore</t>
  </si>
  <si>
    <t xml:space="preserve">Nagapur village has these races organised annually without fail, in clear disregard of the SC orders. In Ambegaon Taluka, cops often stay mute spectators to avoid possible law and order issues, and just charge the offenders after the event. </t>
  </si>
  <si>
    <t>Nagapur</t>
  </si>
  <si>
    <t>Municipal Corporation of Karimnagar is using langurs to scare away monkeys.</t>
  </si>
  <si>
    <t>Jallikattu, coordinated by Tamil Nadu Health Minister C. Vijayabaskar saw the participation of 1,354 bulls and 424 tamers (creating a world record for the maximum number of bulls released into the sporting arena). Two participants were killed and 31 persons injured.</t>
  </si>
  <si>
    <t>Pudukottai</t>
  </si>
  <si>
    <t>Horse named Bahadur lost one of his leg to poor handling. He has 5 points of white blazes on his body. He was probably getting trained for dancing in marriages and that's how he broke his leg, while being made to dance on a charpoy. Rescued.</t>
  </si>
  <si>
    <t>Cow found abandoned in the middle of the village on the kachcha road and in the rain water. Rescued.</t>
  </si>
  <si>
    <t>A bullfight tournament was held in a field on the way to Taj Exotica hotel between  4 pairs of bulls/oxens. The Colva police were aware of the tournament.</t>
  </si>
  <si>
    <t>Benaulim</t>
  </si>
  <si>
    <r>
      <t xml:space="preserve">A female horse with body abrasions and a wound on her lower front left leg and a male donkey who had had his font right hoof amputated, were transferred to the Asswin Project from the </t>
    </r>
    <r>
      <rPr>
        <i/>
        <sz val="12"/>
        <color theme="1"/>
        <rFont val="Arial"/>
        <family val="2"/>
      </rPr>
      <t>goshala</t>
    </r>
    <r>
      <rPr>
        <sz val="12"/>
        <color theme="1"/>
        <rFont val="Arial"/>
        <family val="2"/>
      </rPr>
      <t xml:space="preserve"> in Rohtak. They had both been abandoned. </t>
    </r>
  </si>
  <si>
    <t>At a sugarcane factory, police officers filed 28 citations for illegal offenses against bullocks, including beatings, overloaded carts, the use of more than one nose rope, and withholding rest and water from overworked and overheated bullocks. One bullock owner was arrested for forcing his bullock to work while ill with yoke gall.</t>
  </si>
  <si>
    <t>Jarendeshwar</t>
  </si>
  <si>
    <t xml:space="preserve">A thirteen year old bull died after suffering injuries in a bull race event called manju virattu. The bull suddenly got terrified and started charging on the tamers who tried to pounce on the animal. The panicked bull then tried to find a way out by running on the opposite side of the track and made a head–on collision with another bull charging towards it. He succumbed to the injuries from that accident. </t>
  </si>
  <si>
    <t>Munjurpattu</t>
  </si>
  <si>
    <t xml:space="preserve">A horse cart race took place across 16km on the western suburbs between Kolumedu and Palavedu, without government permission. </t>
  </si>
  <si>
    <t>The scared bullocks were pushed, pulled by nose ropes as their noses bled, and mercilessly struck with wooden sticks, with the whacks audible 200 to 300 metres away. The animals were also beaten with bare hands at the starting point and during the race, and their tails were bitten, pulled, and twisted to force them to run faster. Whipping marks were visible on bulls’ backs, and some animals had bloody injuries from the whipping and from brushes with the carts. Some bullock pairs also crashed to the ground and into barricades during the races. Many exhausted bullocks dropped to the ground at the starting point but were pulled and pushed up by handlers who yanked and bit their tails to force them to race.</t>
  </si>
  <si>
    <t>Mysuru</t>
  </si>
  <si>
    <t>Locals in Karnataka decorate cows with garlands and bells and then force them to walk over fire. The locals believe that this will ensure good fortune and protect them from harm.</t>
  </si>
  <si>
    <t>Mandya</t>
  </si>
  <si>
    <t xml:space="preserve">A mob of villagers brutally attacked an elephant and her calf, hurling firebombs at them, after they wandered onto farmland. </t>
  </si>
  <si>
    <t>Bishnupur</t>
  </si>
  <si>
    <t>500+ bulls made to participate in Jallikattu in just one district. Event celebrated in many other districts as well</t>
  </si>
  <si>
    <t>Palamedu</t>
  </si>
  <si>
    <t>40 pairs of buffalos were made to fight. The locals believe that the buffalos gain lots of energy during this period. They believe the buffalo fights are actually the traditional mechanisms adopted by the people to exhaust the buffalos so that the animal does not attack the keepers or people in general. The fights are organized on the first day of Assamese calendar month of Magh.</t>
  </si>
  <si>
    <t>Ahatguri, Boidyabori -- Morigaon district</t>
  </si>
  <si>
    <t>Goat/Sheep</t>
  </si>
  <si>
    <t>Goat fighting competition held on the eve of Sankranti festival.</t>
  </si>
  <si>
    <t>Krishna District</t>
  </si>
  <si>
    <t>Bull-fight (dhirio) held in a field in Goa, with a large crowd.</t>
  </si>
  <si>
    <t>Facebook (Blue Cross of India)</t>
  </si>
  <si>
    <t>Blue cross of India rescued two pregnant donkeys who were being abused to carry heavy loads. When not being exploited for their labour, they were tied to a lamppost day and night — in the hot sun and pouring rain.</t>
  </si>
  <si>
    <t xml:space="preserve">A couple for made their 12- year-old son beg at a crossroad with baby monkey in rope. The forest department booked the couple under s.22(ii) of the PCA Act. </t>
  </si>
  <si>
    <t>Tushar, a donkey, suffered from a wicked laceration on his leg caused by the repetitive torture of a rope abrasion. Though not tied when he was rescued, the scarring on his other legs reveal Tushar's history of abuse.</t>
  </si>
  <si>
    <t>Assault in politics</t>
  </si>
  <si>
    <t>Video shows cows, bulls and buffaloes being caught by government officials in brutal way, to put them in gaushalas, as an election tactic</t>
  </si>
  <si>
    <t xml:space="preserve">The video shows two bulls being forced to lug a huge stone. The people behind them are chasing them with whips/sticks, seemingly to threaten them to run faster. </t>
  </si>
  <si>
    <t>Yanamalakuduru</t>
  </si>
  <si>
    <t>PETA India investigated seven jallikattu events. The evidence demonstrates that bulls are poked and jabbed with sticks and sickles, hit, jumped on, tackled, bitten, and treated in other cruel ways.
Exhausted and dehydrated animals were forced to participate in jallikattu after standing in queues the night before – for as long as 16 hours – without adequate shelter or sufficient water and feed. They were yanked roughly by nose ropes, causing their nostrils to bleed, and many collapsed from exhaustion and dehydration after the events.
In the arena, several bull tamers jumped on a single bull, violating the rules. Excited mobs got sadistic pleasure out of hitting bulls. Some spectators jumped on the bulls fleeing the collection yards and engaged in the illegal practice of “parallel jallikattu”.
From January 2017, at least 57 humans, 22 bulls and one cow were killed, as calculated from news reports. The actual numbers are likely higher.</t>
  </si>
  <si>
    <t>Madurai, Pudukkottai, Dindigul, Tiruppur Districts</t>
  </si>
  <si>
    <t>Seven rounds of oxen fight conducted in the field along the Nuvem-Arlem bypass; with a crowd of over 3000. Several oxen were injured with multiple cuts. One particular match lasted for more than 10 minutes. Both the oxen had several bruises, with one receiving a deep cut behind the head. The Fatorda police was before-hand informed of the event, but deny any such knowledge. There was no ambulance at the event for any possible human injury.</t>
  </si>
  <si>
    <t>Dovondem</t>
  </si>
  <si>
    <t>Food festival organised at Kachari Ghat. An injured horse is being abused for joyrides. He can’t even walk properly.</t>
  </si>
  <si>
    <t>Kachari Ghat, Guwahati</t>
  </si>
  <si>
    <t xml:space="preserve">The video shows a horse with a broken leg, who’s limping with utmost difficulty, being whipped to run while pulling a carriage with two people sitting on it. </t>
  </si>
  <si>
    <t>Muradabad</t>
  </si>
  <si>
    <t xml:space="preserve">Horse being used for joyrides (attached to a carriage) collapses on the road. In the video, owner admits this is the second time the horse has collapsed. </t>
  </si>
  <si>
    <t xml:space="preserve">Farmers of Vishakhapatnam District have deployed langurs to keep monkeys at bay. In the video, the langurs are kept in small cages, and later tugged around with ropes tied to their necks. </t>
  </si>
  <si>
    <t xml:space="preserve">Vishakhapatnam </t>
  </si>
  <si>
    <t>Cow and calves kept in filthy condition, kept confined, malnourished. Shows signs of neglect, weakness. AWO visited the owner and instructed to clean the dung from the floor, wash the cow, give food and water daily</t>
  </si>
  <si>
    <t xml:space="preserve">Monkey is kept chained by a young boy, at the flyover. Either being exploited for begging or for performances. </t>
  </si>
  <si>
    <t>Mangolpuri flyover</t>
  </si>
  <si>
    <t>Donkeys at the Pavagadh Hills have been doing hard and tedious load-bearing work for decades, or even centuries if folklore is to be believed. 
They are forced to carry goods (from packaged water to construction material) up the Pavagadh Hill to the various shops and establishments. 
According to the district administration, 335 donkeys are being used to transport goods here. On examination by veterinary doctors, 11 of the donkeys were found unfit and their owners have been asked not to use them for a week so they can recover. 
The district administration is taking steps to ensure the donkeys are not overloaded.</t>
  </si>
  <si>
    <t>Pavagadh</t>
  </si>
  <si>
    <t>Boiling water thrown on an abandoned horse; brought to CUPA rescue shelter</t>
  </si>
  <si>
    <t xml:space="preserve">Injured horse was abandoned, found roaming on the Streets </t>
  </si>
  <si>
    <t>Mylapore</t>
  </si>
  <si>
    <t xml:space="preserve">Two Swedish women decide to travel from Pushkar to Goa, on a camel cart—to convey the message of environment conservation. The camel will be forced to walk for over two months (and 1600km), lugging the cart and the two women. </t>
  </si>
  <si>
    <t>Pushkar</t>
  </si>
  <si>
    <t xml:space="preserve">PETA worked with superintendent of police, Thane Rural, to stop illegal bullock cart race from taking place. </t>
  </si>
  <si>
    <t xml:space="preserve">Chincholi village, near Titwala of Thane district </t>
  </si>
  <si>
    <t>17 horses were rescued by Mumbai police after apparently being abused for illegal rides (Victoria carriages). They were suffering from malnourishment, wounds all over their bodies, and inflamed tendons, ligaments, and joints, among other health conditions. As per order of Metropolitan Magistrates’ Court, Esplanade, PETA India has been granted custody of the horses.</t>
  </si>
  <si>
    <t>HIS</t>
  </si>
  <si>
    <t>Wardhannapet TRS (Telangana Rashtra Samithi) candidate horse riding in election campaign. The horse is being paraded through dense crowds, while a camera points a beaming flashlight in front of the horse’s face.</t>
  </si>
  <si>
    <t>Wardhannapet</t>
  </si>
  <si>
    <t>“There are at least 12 colonies in Agra, including Subhas Park, Kamla Nagar and Rawatpara, where we have deployed langurs. Their keepers tie them with a chain and patrol colonies on their bicycles, with the langurs riding pillion,” a Rawatpara resident said. These langurs are hired for anything between Rs 200 and Rs 300 a day.</t>
  </si>
  <si>
    <t xml:space="preserve">Person posts photo on Facebook, with a horse and a bull tied to the same cart—presumably to participate in a race.  </t>
  </si>
  <si>
    <t xml:space="preserve">Assault for Superstition </t>
  </si>
  <si>
    <t>40 year old married man Kanhaya, a truck driver, killed owl to perform black magic to attract woman, accused had cut the claws of the owl with a knife and inserted several needles into its liver and lungs, suggesting that he sued the owl as a voodoo, owl died due to multiple puncture wounds</t>
  </si>
  <si>
    <t xml:space="preserve">Nearly 50 spiked bits fitted inside the mouths of horses to control them were seized from stables across Delhi during a 10-day drive conducted by the police and PETA. </t>
  </si>
  <si>
    <t>In response to an RTI query, the Indian Army replied, “Army horses and dogs are evaluated for their fitness with respect to the performance of duties. The animals which are considered unfit for one month active service are disposed of by humane euthanasia.” A retired official, on conditions of anonymity, said the Army puts to sleep dogs deemed unable to keep up with the rigour of their duty, even if they have a few years of life ahead.</t>
  </si>
  <si>
    <t>Frightened donkey with a horrific injury on his leg caused by a rope that had been tied around his leg for many weeks. The tight rope had caused a deep wound that was severely infected, necrotic and infested with maggots and was so painful he couldn't bear any weight on the injured leg at all. Rescued</t>
  </si>
  <si>
    <t>Use as Labor</t>
  </si>
  <si>
    <t xml:space="preserve">Four horses that were being used for joy rides in the city beaches died in a month. The horses were extremely weak, dehydrated and overworked. Two of them had colic and were left untreated. </t>
  </si>
  <si>
    <t>A jallikattu bull, owned by Tamil Nadu health minister C Vijaya Baskar, died—after being injured when he hit a wall in the jallikattu event.</t>
  </si>
  <si>
    <t xml:space="preserve">PFA Hyderabad led the ground rescue operations for 1 elephant, 1 camel, 2 horses, 2 goats, 5 dogs, 3 puppies, and 1 bullock. The elephant was almost blind. She was kept tied for 22 hours a day without adequate food, water or exercise. The circus had also not registered the elephant with the Central Zoo Authority (CZA), and was holding the animal illegally. </t>
  </si>
  <si>
    <t>“There are 30 owl species to be found in India and most of them are in the Red List of threatened or endangered species of the International Union for Conservation of Nature (IUCN) and Schedule I of the Wildlife Protection Act. There is a sharp spike in their capture and trade during the Diwali season. The birds are subjected to brutal deaths through black magic rituals,” said Abrar Ahmad, an ornithologist who has been following the illegal bird trade in India. 
Amhad said: “Tribes like the Baheliyas are involved in trapping them in areas from Pilibhit, Meerut, Moradabad and Agra to Dehradun and Ambala. There are at least 16 tribes in India involved in the trade.
Every part of an owl’s body has significance in sorcery and black magic. A live owl buried during Diwali outside the door of a house is supposed to bring prosperity. In one of the rituals, the bird is even blinded before it is slowly killed over days. The tantriks are the real culprits.”
The price of an owl ranges from Rs 300 to Rs 50,000 for larger species.</t>
  </si>
  <si>
    <t>These horses are housed outside the city border, and have to walk 30-50 km in the morning to the venue itself. The noise from the wedding band is loud and extremely distressing for the horse, but the handler holds her tightly by the bit, so she can't rear her head up. An iron chain is fitted into the mouth of the horse, constantly grating her teeth and making her gums bleed. Fire-lanterns surrounding the horse make her heat up excessively. 
In the midst of these excruciating conditions, she is forced to walk several more kilometres slowly before the groom finally dismounts. The festivities finally end late at night, and the horse has to walk back outside the city, only to repeat this torturous process again the next day. Most of them are partially blind and deaf, can barely walk, and end up dying of exhaustion.</t>
  </si>
  <si>
    <t>Calf abandoned with bad foot fracture</t>
  </si>
  <si>
    <t>Bull in immense pain due to an infected nylon rope going through his nose. Treated</t>
  </si>
  <si>
    <t xml:space="preserve">Ongole bull racing competition held in AP. A total of 200 bull rearers from the State are participating. The budget for the event is pegged at Rs. 40 lakh. The winner gets a cash prize of Rs. 16 lakh. </t>
  </si>
  <si>
    <t>Vijayawada</t>
  </si>
  <si>
    <t>PETA India prevented an illegal race from being held. The police registered cases against 10 people for offenses such as hitching a bullock with a horse on the same cart, causing uneven pressure and unnecessary pain and suffering to both animals in apparent violation PCA Act; and beating animals with nail studded sticks to force them run faster.</t>
  </si>
  <si>
    <t>Jumbo Circus continues to have animal-based performances, including dog and camel acts, horse riding, and display of parrots and other rare birds.</t>
  </si>
  <si>
    <t>Puducherry (UT)</t>
  </si>
  <si>
    <t xml:space="preserve">Video shows bulls being tied to carts, and forced to race. They are constantly brutally whipped, to get them to run faster. Video focuses on the ground, which is filled with stones (thereby certainly causing immense pain to the bulls’ feet).  </t>
  </si>
  <si>
    <t xml:space="preserve">Abandoned bull with a horrific maggot ridden broken horn. The photo shows blood all over the horn. The maggots had reached the bull's head and would have been fatal had he not been rescued in time. </t>
  </si>
  <si>
    <t>Vagator</t>
  </si>
  <si>
    <t xml:space="preserve">At Amber Fort 103 elephants regularly carry tourists up and down a deep slope. As per Animal Welfare Board of India investigations they suffer from the blows of ‘ankush’ or bullhook, which is prohibited, and from beating, kicking and insufficient diet and inadequate medical care. They  have open wounds, scars, are chained when not working and display stereotypical behaviour caused by lack of natural mental stimulation. Additional Chief Metropolitan Magistrate in Amber has asked the police to file an FIR against the accused. </t>
  </si>
  <si>
    <t>To make their fighter dogs more ferocious and aggressive dog trainers are using pet and abandoned dogs as baits. In the video, a pet/Street dog is tied to a tree with a rope, while the fighter dog attacks and bites into the helpless tied dog. Experts claim that several dogs are smuggled these days and chances are high that some of them are being used illegally by dog bout organisers to train their dogs for a fight.
An insider to the dog-fight mafia said, “They want their dogs to be like killer machines and to train them pets and Street dogs are now being used.”</t>
  </si>
  <si>
    <t xml:space="preserve">A very skinny elephant is abused for parades at various churches in the area. The wounded elephant is starved and paraded day and night without providing any rest. Heritage Animals Task Force (HATF) have written complaint to Chief Wildlife Warden of Kerala to provide veterinary treatment for this elephant and to impose ban on his parading. </t>
  </si>
  <si>
    <t>Kunnamkulam</t>
  </si>
  <si>
    <t>In Akkol village, cart races with one bull and one horse were scheduled to take place. Such races are widespread in Karnataka and Maharashtra. PETA India with the help of Belagavi SP, stopped the event from taking place. "Horses don't have fat muscles on their back and can pull a cart only from their chests. The bull, however, pulls from its back. When hitched together on one cart, it is tied to the backs of both the animals, which means that the horse suffers. Also, a bull can’t run at the same pace as a horse, so to make it run faster, it is beaten with sticks, its tail is twisted, tailbone broken and it is even given electric shocks. We have video evidence of all of this. Bulls have collapsed and died of heart attacks as a result," says Meet Ashar from PETA India.</t>
  </si>
  <si>
    <t>Belagavi district</t>
  </si>
  <si>
    <t>According to National Dairy Research Institute (NDRI), 38 buffaloes had died in the institute under mysterious circumstances since September 11 and 10 more were seriously ill.                                                                                                                                                - Animal rights activist Naresh Kadyan filed an online police complaint against NDRI director RRB Singh, alleging that he and other officials had buried the dead buffaloes without conducting post-mortem. Kadyan alleged in his complaint that at least 75 animals had died due to poisonous feed.                                                                                           - Police investigation is ongoing.</t>
  </si>
  <si>
    <t>Donkey named Peach abused by cruel owner. He must have tried to escape, and his owner hobbled him (tied his legs together)--but this owner tied three of his legs together using sharp plastic packing tape and ropes. When the plastic and ropes cut through his legs, instead of taking them off, the owner abandoned him--with the hobbles still in place. Peach suffered excruciating pain. Even when the ropes broke, it remained tight against his legs and cut deeper and deeper into the tissue.</t>
  </si>
  <si>
    <t>PETA India granted interim custody of five horses that were rescued by police after being used in an illegal race. The horse-drawn carts which were racing along the Western Express Highway, endangering the lives of both motorists and animals. Next day, one of the horses was found dead, and the post-mortem revealed that the animal had died of suffocation or asphyxia because the rope tied to the animal's neck was too tight.
The horses suffered from malnourishment, wounds all over their bodies, and inflamed tendons, ligaments, and joints, among other poor health conditions. The veterinarians stated that if the horses are put back to work, their painful conditions will likely worsen to the point of permanent disability.</t>
  </si>
  <si>
    <t>Vile Parle East, Mumbai</t>
  </si>
  <si>
    <t>A Street bull was badly wounded when a motorcycle swiped him, opening a vein on his ankle. Animal Aid Unlimited rescued the animal</t>
  </si>
  <si>
    <t xml:space="preserve">Animal Husbandry Commission of the Government of India has revoked the ban on any kind of horse show, and equine trade fair.
</t>
  </si>
  <si>
    <t>Three monkeys, bonnet macaques around eight months old, were being tortured to perform a begging routine at Marina Beach. Forest officials removed wires from around their necks that their handlers used to choke them when they did not obey commands. 
The handlers had bought the monkeys as infants from Andhra Pradesh for Rs. 500 each. Forest officials said there were 10 captive monkeys on the beach, of which 4 have been rescued.</t>
  </si>
  <si>
    <t xml:space="preserve">53 snakes rescued from the illegal custody of snake charmers outside temples across Agra. A total of 43 cobras, 5 common sand boas, 3 red sand boas and 2 rat snakes have been rescued. 
Monday marked the last day of ‘Shravan Somvar’, and snake charmers use this occasion to extract money from devotees. Every year, thousands of snakes are poached from the wild, defanged brutally and then kept hungry for months before the festival. </t>
  </si>
  <si>
    <t>Monkeys forced to beg at Dadar Central railway station in Mumbai. Such monkeys are trained to "dance" through beatings and food deprivation. Their teeth are pulled out by the madaris so that they can't defend themselves. They were rescued by PETA India with the help of Maharashtra Forest Department and the Mumbai Police</t>
  </si>
  <si>
    <t>PETA India has filed a petition in the SC challenging the validity of the state law; seeking to strike it down."Kambala (buffalo racing) events were conducted in these villages. In one instance, two bull calves were struck so hard with a stick that it broke. In its report, PETA India claimed, ""Reluctant, scared buffalo bulls were whacked repeatedly with bare hands, slapped in the face, kicked, poked and hit with wooden sticks, dragged to the starting point by groups of five or six people, and shouted at."" PETA also submitted pictures showing wounds suffered by buffaloes from the beatings and claimed that they were camouflaged by a black substance. 
The bulls were frothing at the mouth when they finished the race. They were also salivating and breathing heavily because they’re not anatomically suited to racing. They run because they’re physically and psychologically abused."</t>
  </si>
  <si>
    <t>Moodabidri, Mangaluru, and Thiruvail villages-- Dakshina Kannada district</t>
  </si>
  <si>
    <t xml:space="preserve">21 snakes were rescued from snake charmers outside Shri Krishna Janmasthan temple in Mathura. The cobras had been de-fanged and their venom glands had been extracted. </t>
  </si>
  <si>
    <r>
      <t>Tamil film</t>
    </r>
    <r>
      <rPr>
        <i/>
        <sz val="12"/>
        <color theme="1"/>
        <rFont val="Arial"/>
        <family val="2"/>
      </rPr>
      <t xml:space="preserve"> Kadaikutty Singam </t>
    </r>
    <r>
      <rPr>
        <sz val="12"/>
        <color theme="1"/>
        <rFont val="Arial"/>
        <family val="2"/>
      </rPr>
      <t>shows</t>
    </r>
    <r>
      <rPr>
        <i/>
        <sz val="12"/>
        <color theme="1"/>
        <rFont val="Arial"/>
        <family val="2"/>
      </rPr>
      <t xml:space="preserve"> </t>
    </r>
    <r>
      <rPr>
        <sz val="12"/>
        <color theme="1"/>
        <rFont val="Arial"/>
        <family val="2"/>
      </rPr>
      <t>a rekla race, which have been banned by the Nagaraja judgment. The AWBI had denied permission for the shoot, which involved 211 cows and oxen, 48 cocks and 32 avians, but the producers shot the sequence irrespective. Later, AWBI granted a No Objection Certificate for the film.</t>
    </r>
  </si>
  <si>
    <t xml:space="preserve">A captive adult Asian elephant is forced to shower tourists with its trunk at a Jungle Book themed resort in Goa. The mahout has a long pointed stick with which he pokes the elephant, to make him/her perform the aforementioned activity. Kartick Satyanarayan, the founder of Wildlife SOS, describes the process, “[The handler] has conditioned that elephant, saying every time I’m going to poke you, and if you don’t do this I’m going to poke you harder. The elephant has realised, the minute I get a slight poke I’m going to do [what he wants] because I don’t want more pain.” One of the visitors described the abuse in his review, "The elephant that did the ‘showers’ had open wounds on its head and a rope tied around its neck that dug into it to allow tourists to climb on.” The elephants were kept chained by both their front and back legs, and tourists were also offered rides on the animals, which were expected to carry as many as three people at a time. </t>
  </si>
  <si>
    <t>Kulem</t>
  </si>
  <si>
    <t>A bullfight was conducted, with over 800 witnesses. But it ended within 10 minutes when one of the bulls ran away from the fight. A police patrol van was stationed there, however no ambulance or veterinary was present at the site.</t>
  </si>
  <si>
    <t>Cana-Benaulim</t>
  </si>
  <si>
    <t xml:space="preserve">Emily (the donkey) was found on the Streets of Pune in a critical condition after she had delivered a baby. When the rescuers found her, she could barely stand and her baby had died. She was suffering severe emotional, as well as physical pain. </t>
  </si>
  <si>
    <t>Female camel found abandoned, maybe due to undiagnosed, abnormality of her back. Rescued</t>
  </si>
  <si>
    <t xml:space="preserve">The owner of the horse organises horse rides on the Marina beach. The owner had a fight with 3 people, who--as an act of revenge--slashed the neck of the horse with a sharp weapon. The horse is recovering, whereas the police have detained the three persons under the PCA Act. </t>
  </si>
  <si>
    <t>PETA India veterinarians carried out inspections on horses used for rides and for weddings and discovered the widespread use of thorn bits, which have been found embedded over a centimetre deep in the animals’ mouths.</t>
  </si>
  <si>
    <t xml:space="preserve">Two horses were being kept in pathetic conditions at a garbage dump near Bandra, Mumbai. FIR has been filed. </t>
  </si>
  <si>
    <t>Frog</t>
  </si>
  <si>
    <t>Complaint lodged against Minister of State for Woman and Child Development Lalita Yadav for organising a wedding of two frogs at a temple to appease rain gods. Both frogs were mishandled, adopting cruel and abusive manner.</t>
  </si>
  <si>
    <t>25 “unidentified persons” from the village were named in an FIR for allegedly dragging 16 bulls into a canal and pelting them with stones for damaging their crops. Vivek Premi, from Bajrang Dal, was the complainant in the case. He says he was informed that the villagers were drowning two bulls.</t>
  </si>
  <si>
    <t>Mundetkalan village, Muzaffarnagar district</t>
  </si>
  <si>
    <t>Week old calf found abandoned on the road with an injured knee</t>
  </si>
  <si>
    <t>Unknown persons had put up posters in Moga district asking people to send in their entries for a dog fight to be organised. The police filed an FIR against the organisers. Shiv Kaushal, noted dog trainer from Chandigarh, said, “Dog fights are very common in rural Punjab and betting also takes place. Breeds like the Pitt Bull and Pakistan Bully are specially reared for this and the animals are treated very cruelly. There have also been instances where dogs have been killed in a fight." Nihal Singh Wala police of Moga district registered an FIR against unidentified persons for circulating invites of a dogfight championship. Humane Society International (HSI) said, “The dogs are reared in isolation, constantly provoked to make them aggressive and forced to tear each other, often ending in fatal injuries." The police have failed to make any progress in the case.</t>
  </si>
  <si>
    <t xml:space="preserve">Management of Telangana Social Welfare Residential School, Algunur has bought a langur to frighten and keep away monkeys.
</t>
  </si>
  <si>
    <t>Alugunur</t>
  </si>
  <si>
    <t>Video shows animal trafficker Sameer 'Ballu' Khan inflicting cruelty on elephants he had captured for the purpose of re-selling. The trafficker is not only torturing grown up tuskers but is also keeping a six-year-old jumbo in captivity, by the name of Suman whom he keeps chained in a hidden dark enclosure. He intends to sell the young tusker to the circus willing to pay the highest price, says the group. He is attacking an elephant with a hatchet in one video and another with a stick in a second video.</t>
  </si>
  <si>
    <t>Horse used for joyrides (ghoda-gadi) collapses of exhaustion, in the middle of the road--and is critically injured.</t>
  </si>
  <si>
    <t>Thane West, Mumbai</t>
  </si>
  <si>
    <t>Three very sick horses were being used in wedding celebrations. One of them also had wounds. PETA India rescued the horses</t>
  </si>
  <si>
    <t>Nangloi</t>
  </si>
  <si>
    <t xml:space="preserve">A bull fight was conducted in an open field, withover 3,000 spectators. Betting to the tune of about Rs 20 lakh, was reported. Both bulls were said to be injured in the fight. One of the bulls was specifically brought from Mumbai for the fight. </t>
  </si>
  <si>
    <t>Korgao</t>
  </si>
  <si>
    <t>Donkeys used at kilns spend all day carrying enormous stacks of bricks on their backs and suffer from wounds, injuries, diseases, dehydration, and exhaustion. Animal Rahat is hoping to retire 75 donkeys from five brick kilns very soon.</t>
  </si>
  <si>
    <t>Every week, hundreds of people, gather at the weekly market at the Geedam Bazaar in Dantewada, to place bets on cockfights. Cckfights are considered a distinctive facet of Bastar’s tribal cultural identity.
As many as 40 to 50 bouts can take place from noon till dusk. As the fights rage on, locals and spectators imbibe mahua and selphi (locally brewed liquor).</t>
  </si>
  <si>
    <t>Dantewada district</t>
  </si>
  <si>
    <t>Following a tip received by PETA, two horses being used for joyrides were rescued at Nariman Point. They were tied up without shade, food, or water; malnourished and very thin, with visible ribs and backbones, and injured, with multiple large wounds, including a huge infected wound on one horse’s wither and left knee. Cuffe Parade police filed a FIR against the custodians of the horses under Sections 3, 11(1)(a), (f), (h) of the PCA.</t>
  </si>
  <si>
    <t>Kherwadi Police Station in Bandra East seized two young horses being abused at an INC political rally--organised against the Central government's decision to increase fuel prices. With the help of PETA, FIR filed u/s. 3 and 11 of PCA for treating the weak and exhausted animals cruelly, including by repeatedly kicking them to force them to walk under the scorching-hot sun for hours without food, water, or shade, carrying person after person.</t>
  </si>
  <si>
    <t>Congress leaders rode a horse carriage to protest the hike in fuel prices.</t>
  </si>
  <si>
    <t>A group of protesters took out a horse cart rally from Sakchi to the deputy commissioner's office, to protest against rising fuel prices. The rally saw motor bikes parked on the horse carts.</t>
  </si>
  <si>
    <t>Jamshedpur</t>
  </si>
  <si>
    <t xml:space="preserve">Over a dozen beggars were found begging with separate infant monkeys on the busy PAP chowk on the Delhi –Amritsar national highway. Majority of the beggars holding the infant monkeys appeared to be minor children. Some of the monkeys were seen lying lifeless in the laps of the women beggars and appeared to be sedated. 
A person driving a motor cycle was seen guiding the gang members from a distance. He too had over four infant monkeys tied to his vehicle. The police have launched a probe into the matter. 
</t>
  </si>
  <si>
    <t>A priest used cobras for a special puja on the 80th birthday of his father. He also brought in an elephant unauthorisedly for prayers seeking longevity for his father. The forest official said the cobras were procured by the priest through “brokers”. The priest was arrested for violation of wildlife laws.</t>
  </si>
  <si>
    <t xml:space="preserve">The Kerala Pulayar Maha Sabha (KPMS) will organise processions to mark the 125th anniversary of Ayyankali’s historic ride in a bullock cart along the Streets of Travancore kingdom, challenging the ban on the ‘untouchables’ accessing public road.
“We will bring bullock carts from Coimbatore, Pollachi and Valliyur in Tamil Nadu to organise symbolic bullock cart rides across the state…The theme of the meetings will be to strengthen the values of reformation…” said general secretary Punnala Sreekumar. </t>
  </si>
  <si>
    <t xml:space="preserve">Horse cart racing event was organised by the Budanagudda Basaveshwara Temple, without formal permissions. One of the riders fell off his cart and got crushed under other riders’ horses. </t>
  </si>
  <si>
    <t>Hubli city</t>
  </si>
  <si>
    <t>Bull named Bhura had wound on his neck due to pulling weight far more than his capacity, rescued from his owner</t>
  </si>
  <si>
    <t xml:space="preserve">Horse cart overloaded in Etawah fruits and vegetable market. The cart was so overburdened that the horse is almost hanging in the air—with his front legs not touching the ground. 4-5 people pull the horse down with force—after which it is made to stand and lug the incredibly heavy cart. The horse is visibly in pain, and again stands on his hind legs. </t>
  </si>
  <si>
    <t>Etawah</t>
  </si>
  <si>
    <t xml:space="preserve">Baby monkey used for begging, looks malnourished and unhealthy due to starvation </t>
  </si>
  <si>
    <t>Pony</t>
  </si>
  <si>
    <t>Pony abandoned on the Streets after an accident. Found in a malnourshed state</t>
  </si>
  <si>
    <t>Mare named Vera's health and welfare neglected by the owner, mare was malnourished and was standing in the sun with no water and food. Rescued</t>
  </si>
  <si>
    <t xml:space="preserve">An abandoned donkey had a severe wound on his left leg; seemingly a rope had cut deep into his leg.
</t>
  </si>
  <si>
    <t>Some unscrupulous elements on the Street threw hot water or acid over a Street bull, resulting in a nasty skin wound. Rescued</t>
  </si>
  <si>
    <t>Injured donkey found abandoned.</t>
  </si>
  <si>
    <t>Dhanpur</t>
  </si>
  <si>
    <t>A horse died due to negligence from the end of its owner.</t>
  </si>
  <si>
    <t>Bull named Yoda injured, emaciated and his face was disfigured from maggot infested wounds around his eyes. A rope was tied through his nose so tight it had started to rip the skin. Abandoned by owner to die without treatment or care in the field, unable to even see because of the massive wounds on his eyes. Rescued</t>
  </si>
  <si>
    <t>Elephants being used overtime, contrary to the Government directions according to which they can be used only between 7 and 10</t>
  </si>
  <si>
    <t>A resident said the Street donkey bit six people, after which the agitated locals pelted the donkey with stones and beat him to death.</t>
  </si>
  <si>
    <t xml:space="preserve">Horse bull cart race taking place near Nashik. Volunteer who went to stop the race got harassed. </t>
  </si>
  <si>
    <t>Nashik</t>
  </si>
  <si>
    <t>Laying in terrible pain, a donkey's (named Leon) leg was covered in blood. He was struck down by the cruelty of an ignorant, negligent owner who tied two of his legs together to keep him from running away. In his struggle to free himself, the rope cut through his flesh and muscle. The rope almost killed him.</t>
  </si>
  <si>
    <t>Indian Spiny Tail Lizard</t>
  </si>
  <si>
    <t>Video showing trade of spiny tail lizard in Shanivari Bazar in Surat- due to bind faith and superstition, lizards caught from their burrows, their spines are broken to immobilize them, fried alive in a large vessel, the residue is sold as an aphrodisiac and a cure for muscular pain (Sande ka tel)</t>
  </si>
  <si>
    <t xml:space="preserve">Pig fights were held to celebrate a Hindu festival Yugadhi, which marks the arrival of the New Year in the Indian calendar. As a large crowd watched, the pigs dueled circling and goring each other. Each duel lasted for about 15 to 20 minutes and went on till one of the animals retreated. </t>
  </si>
  <si>
    <t>Maria Puram, Kadapa</t>
  </si>
  <si>
    <t xml:space="preserve">Nose-pegs are used to control the camels. To ensure that the camels don’t wander off, their legs are often tied together with short lengths of rope so that they can't break away. The post describes a camel unable to take proper steps and constantly stumbling. Further, they are terribly over-worked, being forced to take multiple trips from morning to night. 
They are also over-burdened—pulling a cart, usually laden with whole families and lots of gear, which is then pulled through the sand by the camels. They are whipped brutally whenever they don’t follow the controller’s instructions. They lack regular access to water and have no veterinary care. </t>
  </si>
  <si>
    <t>In Sonepur-- at the world’s largest cattle fair starting on Kartik Purnima (for a fortnight, up to a month) horses are forced to wear pain causing thorn bits in their mouths during the prohibited races that are held at Ghoda Bazar daily. In fact, the fair has always overlooked the display and illegal sale of elephants. It is common for the mahouts to control them with the help of an ankush and shackle them with spiked chains.</t>
  </si>
  <si>
    <t>Sonepur</t>
  </si>
  <si>
    <t>Bull being kept in bad and unhealthy condition by owner, used to carry excessive weight, causing a wound on its neck</t>
  </si>
  <si>
    <t>Calf abandoned, suffered a deformity in his leg from birth</t>
  </si>
  <si>
    <t>Buffalo abandoned with foot fracture</t>
  </si>
  <si>
    <t xml:space="preserve">Congress party candidate Pranaya Sahu campaigned on a bullock cart in Sradhapali village of Gaisilat block. </t>
  </si>
  <si>
    <t>Gaisilat</t>
  </si>
  <si>
    <t xml:space="preserve">Bull was horribly injured and abandoned to die in the field. Maggots had disfigured both his eyes and he was unable to see. The rope through his nose was so tight it had made his nose start to bleed; there were maggots on his nose as well. Animal Aid Unlimited rescued the bull and provided treatment. </t>
  </si>
  <si>
    <t>2 Cocks seized from duo preparing for Cock Fight. FIR filed u/s 11(1) PCA</t>
  </si>
  <si>
    <t>Donkey race held at Jambula Parameswari Temple. A person can be seen brutally whipping the donkey to run. The animals are tied with sand bags weighing a whopping 150 kgs and are made to run across two poles. The animal that will make a maximum number of laps is announced as winner. The owner of the animal will be awarded with Rs 15,000, runners up will be given Rs 10,000 while the third prize winner gets Rs 5,000.</t>
  </si>
  <si>
    <t xml:space="preserve">While the owner stands nearby, the horses and mules are feeding on garbage and dung. </t>
  </si>
  <si>
    <t xml:space="preserve">Hundreds of people assembled to witness dhirio. While the Margao Police claimed that no bull fight took place at the venue, sources said that the bulls indeed locked horns right under the nose of the policemen. </t>
  </si>
  <si>
    <t>Sirvodem</t>
  </si>
  <si>
    <t>BJD’s youth and students’ wings took out a rally with bullock carts, protesting the rise in fuel prices.</t>
  </si>
  <si>
    <t xml:space="preserve">Traditional rekla race (bullock cart race) held on Kaanum Pongal (eve of harvest festival). The bullock carts covered 6km between 10-15 minutes.   </t>
  </si>
  <si>
    <t xml:space="preserve">Ox cart race held in village to celebrate Pongal festival. </t>
  </si>
  <si>
    <t>Kakinada</t>
  </si>
  <si>
    <t>Jallikattu event held at Vadamalapur in Pudukottai. One spectator died, while sixteen others were injured.</t>
  </si>
  <si>
    <t>Pudukottai district</t>
  </si>
  <si>
    <t>As the jallikattu slated to commence at 11 am got delayed because of the late arrival of Collector G Latha, villagers who had brought unregistered bulls, let them loose in the open, celebrating ‘manjuvirattu’. Two persons died and more than 50 people were injured. 
Former Minister K.R. Periyakaruppan, BJP State president Tamilisai Soundarajan and BJP national secretary H Raja were among others witnessing the jallikattu.</t>
  </si>
  <si>
    <t>Siravayal village</t>
  </si>
  <si>
    <t xml:space="preserve">Jallikattu event held in Paalamedu district. One of the bulls, after completing his run, attacked a 19 year old person- who died. </t>
  </si>
  <si>
    <t>Paalamedu district, Madurai</t>
  </si>
  <si>
    <t>Cockfights are being held successfully despite police monitoring the situation at Penamaluru, Gudiwada, Nunna, Nuziveedu, Musunuru, Kaikaluru, Vissannapet and other places in Krishna district. 
Centres being run by politically-influential persons did not seem to face any major obstacles though a few small groups that tried to run the show were disrupted by police at many places.</t>
  </si>
  <si>
    <t>Cock fight held at a mango garden at Pedapaka, 10 kms away from the West Godavari district—with a huge crowd. This place is considered a safe haven for the sport since it allegedly received patronage from the local TDP MLA Chintamaneni Prabhakar, who is also the government whip.
The MLA is said to rear roosters in his farm in his constituency, and allegedly organises the cockfights.
Betting ranged up to Rs 3 lakh for each game that took place in the ground, whereas betting in the galleries crossed Rs 25 lakh. 20 games took place from noon to evening on Day-1, and the event will go on for two more days.
Video-graphing and taking photographs were strictly prohibited. There were three gunmen, apparently attached to the MLA, to enforce this protocol. A visitor who came from Hyderabad was thrashed for trying to shoot the event with his mobile camera.</t>
  </si>
  <si>
    <t xml:space="preserve">Buffalo fights are traditionally held to celebrate Magh Bihu (harvest festival). In Ahatguri, thousands of people gathered to witness around least 30 pairs of buffalo fighting. 
</t>
  </si>
  <si>
    <t>Ahatguri</t>
  </si>
  <si>
    <t>MLA JC Prabhakar organises pig fights in Anantapur</t>
  </si>
  <si>
    <t>Anantapur</t>
  </si>
  <si>
    <t xml:space="preserve">In the video, a goat fight is held. Both the goats are have their entire bodies painted/coloured with seemingly harmful chemicals. The winner goat is further manhandled and her/his horns pulled. </t>
  </si>
  <si>
    <t xml:space="preserve">Bulls being repeatedly hit mercilessly with sticks and whips
</t>
  </si>
  <si>
    <t>Nellore</t>
  </si>
  <si>
    <t>Horse Race</t>
  </si>
  <si>
    <t xml:space="preserve">Shri Laxminath Ji Cattle Fair to host a horse race, to increase tourism. 500-600 horses will participate in the race. </t>
  </si>
  <si>
    <t>2 spectacled cobras confiscated from a charmer. De fanged. Venom glands intact.</t>
  </si>
  <si>
    <t>Juvenile Bonnet Macaque held by madaris. Had a dog chain around his neck</t>
  </si>
  <si>
    <t>Horse cart race held at the Salem-Attur highway.  Large number of horse-cart racers from Lalgudi, Trichy, Salem, Namakkal, Rasipuram and Bhavani participated in the event. Big horses had to clear a distance of 21km and the small ones, 7km.</t>
  </si>
  <si>
    <t>Attur</t>
  </si>
  <si>
    <t>Detailed Facebook post by Shivam Rai, accompanied by photos and videos of animal cruelty at the pilgrimage. The animals are hit with sticks when they deny carrying more load or are unable to walk. Horses and mules are forced to continuously give rides on the steep slope of around 24 km up-and-down, with an average weight of 90-100 kg on their back. Rai also spotted a horse limping and shivering; whose front right leg was broken. Even after trying for two and a half hours, Rai didn't receive any help from the shrine board. He claims there was not a single veterinary officer to look after the condition of those horses.</t>
  </si>
  <si>
    <t xml:space="preserve">Rehana had a severe injury on his leg (bleeding profusely), and he was abandoned by his owner on the road </t>
  </si>
  <si>
    <t xml:space="preserve">Despite HC ban, bullock cart race organised with impunity on a fairly busy road in Mira Road. The video also shows an accident wherein one of the bullocks is seen slipping mid-Street and falling, causing the cart to veer towards the edge of the road.
</t>
  </si>
  <si>
    <t xml:space="preserve">Seven people were booked under the PCA Act and IPC for running a bullock cart race on a busy road in the city. SPCA volunteers shot a video of the race. In the video, the wheel of one cart comes out, causing the cattle and the occupants of the carts to tumble onto the road. </t>
  </si>
  <si>
    <t>Thane, Mumbai</t>
  </si>
  <si>
    <t>A man is seen brutally thrashing a langur with a cane. The injured langur is then tied to a tree and horrifically whipped with a belt.</t>
  </si>
  <si>
    <t>Assault by Hard Labour</t>
  </si>
  <si>
    <t xml:space="preserve">Horse dies at race, due to over-exertion. There was no medical assistance of any kind at the event. After the horse collapsed, it was loaded onto a truck and moved to the side and the event continued. Group of animal rights activists went to Wanowrie police station to lodge a complaint, but their application was not taken and the horse still awaits a post-mortem. 
</t>
  </si>
  <si>
    <t>Horse abandoned after accident injuries</t>
  </si>
  <si>
    <t xml:space="preserve">Wedding horse coerced into dancing. Person with a wooden stick smacks him on the hind legs, and the horse then raises his front legs. Another person is persistently pulling the horse’s reins (which are mostly attached to thorn bits inside the horse’s mouths—that tear into their mouths and are used to control the horse). In the video, the horse is visibly in pain and restlessly and helplessly moving to the commands of the controller. </t>
  </si>
  <si>
    <t xml:space="preserve">Priyanka, an elephant was abused for joyrides, begging, and wedding processions. She was rescued by Wildlife SOS. The veterinarian check-up reveals that she has corneal opacity in both her eyes and is likely going blind. Her hind limbs appear to be twisted inwards because of improper development due to poor nutrition in her younger years – her toenails are overgrown and have begun cracking as a result, and she has an abscess developing on her right hind limb. She also has a fracture in the third digits of both feet. In this condition, she was exploited day in-and-out. Being forced to give joy-rides to people who clambered into the heavy carrier that sat atop her aching back. She was forced to walk continuously while her fractured feet burnt on the hot tar. </t>
  </si>
  <si>
    <t xml:space="preserve">9 large carts and 17 small ones were involved in the rekla race--which was flagged off by local VIPs of the AIADMK party. One of the bullocks veered away from track and careened into the audience, injuring one person. There were no ambulances or paramedical practitioners present at the venue, and the spectator died before he could get medical attention.
</t>
  </si>
  <si>
    <t xml:space="preserve">Seithunganallur  </t>
  </si>
  <si>
    <t xml:space="preserve">Assault for superstition </t>
  </si>
  <si>
    <t>Hatha Jodi was being sold in various shops which were selling articles for worship in Haridwar, Rishikesh, and Dehradun. The shopkeepers said it was plant material, and was used in poojas, especially during Deepavali, and a few people were also using it in tantric poojas. The samples purchased were tested, and turned out to be the genitalia of Bengal monitor lizards.</t>
  </si>
  <si>
    <t>Haridwar, Rishikesh, and Dehradun</t>
  </si>
  <si>
    <t>Cow abandoned after accident</t>
  </si>
  <si>
    <t>Ramu is an adult male macaque who was rescued with a serious jaw injury. His recovery took a considerable amount of time, due to his injuries and left him quite maimed around the mouth. 
He most probably had a prolonged association with a human gang that made him steal.</t>
  </si>
  <si>
    <t>Female macaque rescued on October 29, 2017, does not have any fingers on both her fore paws, most probably owned by a 'madari' earlier, who amputated her fingers to gain sympathy from onlookers. Permanently disabled</t>
  </si>
  <si>
    <t>Video depicts bull fight (dhirio) being held in a Goan field</t>
  </si>
  <si>
    <t xml:space="preserve">Korgao </t>
  </si>
  <si>
    <t>Mama Street cow (Bee) and her baby (Honey) rescued- Bee had been struck a blow by a sharp object, Honey was victim of cruel neglect, had outgrown a rope tied and forgotten around his neck, maybe by a cruel owner</t>
  </si>
  <si>
    <t xml:space="preserve">Bullock cart owners blocked the Pune-Nashik Highway demanding lifting of the ban on bullock cart races in Maharashtra. They also sought a ban on PETA. The blockade disrupted traffic on the busy highway for 3-4 hours. Police detained several leaders, including Shirur MP Shivajirao Adhalrao Patil, MLAs Mahesh Landage and Suresh Gore—but they were later released. </t>
  </si>
  <si>
    <t>Pune-Nashik Highway</t>
  </si>
  <si>
    <t>Donkey named Veeru beaten, tied and brutally, repeatedly, hit with a pipe. The blows to his head were so heavy that his left eye ruptured. Cuts and bruises covered his body. A man had beaten his rival’s donkey after a fight. To make the point about what a tough guy he was, he beat someone’s donkey almost to death. Police case filed and accused arrested. Veeru rescued</t>
  </si>
  <si>
    <t>Ox rescued, was a working animal and was being overloaded</t>
  </si>
  <si>
    <t>Bull used for ploughing, abandoned when he was too old. Wandered into a field looking for food and was axed by an angry farmer. Rescued</t>
  </si>
  <si>
    <t>Bovine</t>
  </si>
  <si>
    <t xml:space="preserve">Karwani holiday is for people to show appreciation for their animals. They parade bullocks, cows, buffaloes, and goats through the villages after decorating them with colored powder as well as shaving and painting their horns. But the powders and paints are often toxic and can cause serious irritation to the animals’ skin, eyes, and horns—and can even cause cancer. Animal Rahat intervened saving 769 animals in nine villages. </t>
  </si>
  <si>
    <t>Solapur</t>
  </si>
  <si>
    <t>4-day old buffalo calf abandoned with foot fracture. Rescued</t>
  </si>
  <si>
    <t>Palapitta (or the Indian Roller bird) is considered good omen if spotted on Dussehra. 
A month before Dasara — they are captured, caged, tied up; their wings are trimmed or sometimes even stuck with glue to prevent them from flying away; they're crammed into small cages which are shut up in dark rooms or godowns, where they await their fate without food or water. All this to cater to the demands of those willing to shell out money to 'spot' the bird on Dasara for good luck.
"Not just in Hyderabad, the palapitta faces the same fate in North India as well, especially in Lucknow, Kanpur, Patna. According to popular belief, sighting palapittas on Dasara will help absolve people of their sins. It is also believed that if one makes a wish before palapitta, it will convey the wish to Lord Shiva, who will fulfil it,” says Abhinav Srihan of Fauna Police.
Mahboob Chowk located at a short distance from the Laad Bazar to the west of Charminar is still the hotspot of this illegal trade.</t>
  </si>
  <si>
    <t>Sheep fight organised in Kamaripeth, Hubli; large crowd has gathered as spectators</t>
  </si>
  <si>
    <t xml:space="preserve"> Hubli</t>
  </si>
  <si>
    <t>Pony abandoned with compound leg fracture</t>
  </si>
  <si>
    <t>Bull fight held despite ban, FIR registered u/PCA against unknown organisers, no names yet</t>
  </si>
  <si>
    <t>Shimla</t>
  </si>
  <si>
    <t>Calf abandoned for leg fracture, neglect. Long recovery period</t>
  </si>
  <si>
    <t xml:space="preserve">A helpless horse was tied to poles, and a bunch of locals beat it with sticks, and pulled the poles from all directions. Sources said residents, including shopkeepers, noticed a Street horse attacking commuters and damaging property. Eyewitnesses claimed the police were informed about the horse ransacking the area, but no animal expert from the Animal Husbandry Department was informed. So the locals decided to take matters in their own hands. With the help of the police, they strangled the horse. Deputy Commissioner Amit Khatri said Jind SP had been asked to book all, including the police personnel, who saw the horse being killed. </t>
  </si>
  <si>
    <t>Jind district</t>
  </si>
  <si>
    <t>Hundreds of bullock cart owners are misusing the permission given by the district administration to transport sand from patta land in and around Challakere and Nagarangere tanks. Every day, hundreds of cart-loads of sand are being sold uninterruptedly.  </t>
  </si>
  <si>
    <t>Challakere</t>
  </si>
  <si>
    <r>
      <t xml:space="preserve">An Indian spectacled cobra, protected under Wildlife Protection Act, 1972, was brought for shooting to the sets of a TV serial </t>
    </r>
    <r>
      <rPr>
        <i/>
        <sz val="12"/>
        <color theme="1"/>
        <rFont val="Arial"/>
        <family val="2"/>
      </rPr>
      <t>Naagarjun - Ek Yoddha</t>
    </r>
    <r>
      <rPr>
        <sz val="12"/>
        <color theme="1"/>
        <rFont val="Arial"/>
        <family val="2"/>
      </rPr>
      <t xml:space="preserve">. An FIR was registered under Sections 9, 39, 48(a) and 51 of the Wildlife Protection Act against two actors and two producers of the show. </t>
    </r>
  </si>
  <si>
    <t>Injured calves found abandoned, rescued</t>
  </si>
  <si>
    <t>Excerpts from ‘Born Wild’ by Swati Thiyagarajan</t>
  </si>
  <si>
    <t>Two baby sloth bears rescued from a poacher who would have sold them on to the Kalanders community, who use them as dancing bears in India.
A few years ago, the author saw a dozen of bears on the side of the road. On inspecting one of the dancing bears, she saw that he had no claws, all his teeth had been extracted. A large thick rope went in through the nose and upper palate of the bear’s mouth. The rope was then looped through an iron ring, the other end of which was in the handler’s hands. The bear’s every movement to the beat of the drums was governed by the jerks of the rope. When they are still young, a red hot needle is used to punch this hole through their nose and upper palate and it never quite heals as the rope constantly chafes the wound. This makes the wound sensitive and every jerk on the rope causes immense pain. 
In the wild, a bear lives up to twenty-five years. In these captive conditions, they die in seven to eight years from malnourishment and infected wounds.
To capture young wild sloth bears, their mother has to be killed. Baby bears do not go anywhere without their mothers.</t>
  </si>
  <si>
    <t>There used to be a 62-km-long tonga race between Ajmer and Sarwar, before it was banned in 2014 by the district administration. There were several incidents in which horses had died during the race. There was also betting on the races.</t>
  </si>
  <si>
    <t>An 18 month old langur was found tethered in the corner of a housing society compound. The langur’s teeth had been knocked off, and s/he had been kept captive for 3-4 months to keep monkeys at bay. The rescued langur will have to spend the rest of her life in a shelter home, because without her teeth she cannot hunt or eat on her own.
“The life span of a langur is generally 20 to 30 years in the wild, however it goes down to just seven to eight years if the animal doesn’t live in the wild,” said Yashwini Sinha, an animal behavior specialist.</t>
  </si>
  <si>
    <t>At the foothill of the famous Bhojpur Shiva temple, snake charmers are keeping cobras in captivity to make money off pilgrims and visitors. This is done barely 10 steps from the police outpost. “The snake charmers are thriving under the nose of the police,” said one shop keeper—alleging that police too offer prayers to snakes. 
Two of the snake charmers said they captured cobras from Ratapani forest and removed their venom.
Forest officials claimed to have rescued at least 10 cobras at the temple premises from snake charmers.</t>
  </si>
  <si>
    <t>A rare herb called Hatha Jodi, supposedly from the deep jungles of Madhya Pradesh, was being sold openly on the net by Flipkart, OLX and various so called “ religious” and “tantric puja” sites and blogs. This herb was made from the penis of the monitor lizard. Monitor lizards are being hunted to extinction in the forests of Madhya Pradesh because of their penis. 
These genitals are being sold under all kinds of superstitions: websites promise it’ll help you defeat your enemies, become very rich, get rid of ghosts, overcome all obstacles, gain the ability to hypnotize, journey safely, become very attractive, etc.
The penises are sourced from Madhya Pradesh, Odisha, Rajasthan and Karnataka, and reach markets through online retailers and dealers who supply them to local shops. So far raids, conducted by the WCCB and Wildlife Trust of India, have led to the recovery of 210 Hatha Jodis.</t>
  </si>
  <si>
    <t xml:space="preserve">The “tonga” race in Nagaur used to take place every year during an annual fair dedicated to Lord Ganesha and Lord Tejaji, until it was banned by the Rajasthan HC in 2014. Some politicians, including an Independent MLA hold a sit-in at the district collectorate office demanding the state government to bring an ordinance to sidestep the court ban. “The race is a matter of people’s faith and if the state government fails to take action then it will have to deal with protests,” MLA Hanuman Beniwal said, adding that he has support of local BJP and Shiv Sena leaders.
</t>
  </si>
  <si>
    <t>Sultan, a bull, is forcefully fed 100ml of alcohol everyday. The custodian said that they earn Rs.90 lakh per annum by selling Sultan’s semen</t>
  </si>
  <si>
    <t>Kaithal</t>
  </si>
  <si>
    <t>Subadult. Defanged. Dull. Right side - remnant of a fang found. Venom glands intact.</t>
  </si>
  <si>
    <t>Assault for abandonment</t>
  </si>
  <si>
    <t>Over 50 horses found abandoned near Bankal village in Chikmagalur</t>
  </si>
  <si>
    <t>Chikmagalur</t>
  </si>
  <si>
    <t>Horses brutally beaten up for grazing crops.</t>
  </si>
  <si>
    <t>Hassan</t>
  </si>
  <si>
    <t xml:space="preserve">Man exploiting monkey to beg in the name of lord hanuman. He forces the monkey to climb on the extremely hot front glass of cars. If the monkey doesn't climb up, he hits the monkey with the cane in his hand.
</t>
  </si>
  <si>
    <t>Trilokpuri</t>
  </si>
  <si>
    <t>Hundreds of bulls made to compete in Jallikattu in scorcing heat.</t>
  </si>
  <si>
    <t>Kids using monkey for begging beneath Naraina flyover. The monkey looks hungry and weak. He was tied with a small rope, and the kids would toss him upon vehicles. The monkey's mother was being used by other beggars at the same red-light.</t>
  </si>
  <si>
    <t>Naraina</t>
  </si>
  <si>
    <t xml:space="preserve">Kallu Khan’s flat in Kotla Mubarakpur houses more than 100 pigeons in crammed cages. He forces this fleet to participate in pigeon races from August to May. In May 2017, Kallu Khan won a competition organised in North Delhi’s Azadpur. Some of these birds are bought from old Delhi’s Kabootar Bazaar, where pigeons are sold for as less as Rs.200. </t>
  </si>
  <si>
    <t xml:space="preserve">Kotla Mubarakpur </t>
  </si>
  <si>
    <t xml:space="preserve">Horse abandoned at Khair Road, Aligarh; has a huge wound on his back; can see his flesh.  </t>
  </si>
  <si>
    <t>Assault by superstition</t>
  </si>
  <si>
    <t>Snakes were brought to different shrines by snake charmers. Devotees fed milk to the snakes (which eventually leads to the snakes’ death).</t>
  </si>
  <si>
    <t>Kulwinder Singh, who runs the Baba Gau Hira Hospital, which treats injured cows says, "Street cows are being attacked with acid and swords and are being burnt with matchsticks. Some even have pepper applied in their eyes and udders. Each month we rescue at least 60-70 such cows." For the cows abandoned on roads he says, “We find all sorts of human waste, iron objects, plastic and garbage in the stomachs of dead Street cows. It is what the abandoned animal has been feeding on for months." These cows are generally abandoned by farmers after they turn infertile or stop providing milk.</t>
  </si>
  <si>
    <t>Cow abandoned because of a fractured leg</t>
  </si>
  <si>
    <t>Neglected pony, abused and beaten. Found with a fractured leg that needed to be amputated</t>
  </si>
  <si>
    <t>A tantric shop in Noida was peddling the genitalia of lizards (hatha jodi, a Hindi term that translates to “clasped hands”). The police raided the shop.
The poachers club male lizards to death, make incisions to protract their two-inch hemepenes (which remain hidden in a pouch except when mating), and slice them off with a sharp blade. The organs are then sun-dried and sold as plant roots in India and abroad.
Tantric shops sell it saying it can bring you good luck, save you from court cases, etc. Traders suggest ways to “energize” the hatha jodi, such as by dipping them in a honey-milk mixture or performing midnight chants in their presence.</t>
  </si>
  <si>
    <t>A bull was severely injured in the fight, fell on the ground and died on 
the spot. Some spectators had recorded the proceedings in their mobile phones, but the organisers threatened to delete the recorded clips. The Anjuna Police deny that any such bull fight took place, and no case has been registered with them.</t>
  </si>
  <si>
    <t>Socolwaddo-Assagao</t>
  </si>
  <si>
    <t xml:space="preserve">Horse and camel forced to dance at Nagaur Cattle Fair. There is a deafening sound of dhol (drums), while the handler persistently pulls the horse’s reins (which are mostly attached to thorn bits inside the horse’s mouths). The horse is visibly in pain and disturbed as he forcefully moves her/his body (in response to pain). Later in the video, the handler pulls the reins—attached to the horse’s neck and nose—so as to make it stand on her/his hind legs. The same is done with the camel, who looks equally in pain and distress. 
</t>
  </si>
  <si>
    <t>Several month-old male calves found abandoned on the roads by owners of their mothers, because the calves were not of any use to them, rescued</t>
  </si>
  <si>
    <t>Working camel suffering from a really bad saddle sore rescued</t>
  </si>
  <si>
    <t>Animals (including camels and elephants) forced to perform at Apollo Circus without AWBI approval</t>
  </si>
  <si>
    <t>Rohtak</t>
  </si>
  <si>
    <t xml:space="preserve">The visitors saw two elephants trying to escape from their handlers while being made to give rides in extremely high temperatures, and around eight men carrying sticks arrived and proceeded to hit one of the elephants for up to 10 minutes in order to force the animal to obey them. </t>
  </si>
  <si>
    <t>“Monitor Lizard Hemipenis is being passed off as tantric plant roots also known as Hatha Jodi to unwitting customers via major online retailers including Amazon, eBay, Alibaba, Snapdeal and Etsy, among others,” said a statement issued by World Animal Protection. Many believe hatha jodi to be a good luck charm and it is also used in occult practices.
So far, people from the Wildlife Crime Control Bureau, along with state police and forest officials, have raided traders in Telangana, Odisha, Gujarat and Madhya Pradesh. The first raid was conducted in Hyderabad and three samples were seized there. The largest stock, of 210 dried Indian monitor lizard penises, has been seized in Bhubaneswar. 42 samples were seized in Gujarat and 20 in Madhya Pradesh.</t>
  </si>
  <si>
    <t>Cambridge Montessori pre-school organised a monkey show for their students.</t>
  </si>
  <si>
    <t>Elephant (Gajraj) captured from the wild in 1965 at the age of 12, beaten into submission. Used as a temple elephant. After 52 years of this, he was found shackled to one spot, abandoned. Was injured and partially blind with foot abscesses on his hind and elbows caused by continuous chaining. He was frail and unable to walk from lack of food, hydration, movement and veterinary care. His ivory tusks were hacked off to protect the mahouts who abused him daily. Rescued at the age of 65, now with Wildlife SOS</t>
  </si>
  <si>
    <t>Aundh</t>
  </si>
  <si>
    <t>Diljit Dosanjh, Kamal Grewal being called out for promoting dog fights through their music videos. Diljit Dosanjh’s “Pitbull” with the lyrics, “Rakhe fight nu vi Pitbull chaar ni (Have kept four pitbulls for fighting),” and Kamal Grewal’s, “Sarkari Ban” which says, “Petbull’an da chalaya yaaran ne hai daur ni (Friends have begun the trend of pitbull fighting).” In the video of the song, we see Kamal handling the dogs with mouth-guards and making them fight.</t>
  </si>
  <si>
    <t xml:space="preserve">Viral video showing a lactating female elephant forced to haul a huge log, allegedly flouting Project Elephant guidelines. The video shows the mother elephant on the verge of buckling while trying to drag the log over the road with her calf waiting on the other side. </t>
  </si>
  <si>
    <t>BJP MLA, Mahesh Landge, came to the state legislature in a bullock cart, demanding immediate resumption of cart races in the state and lifting the ban on them.</t>
  </si>
  <si>
    <t>5 langurs captured and kept to keep monkeys away from the Surajkund mela. One langur's feet reported be tied. Complaint made to Ministry of environment &amp; forests. Wildlife Crime Control Bureau asked chief wildlife warden of Haryana to investigate and take action</t>
  </si>
  <si>
    <t>Male cow calf abandoned by owner, attacked by Street dogs, never able to stand again.</t>
  </si>
  <si>
    <t>Rampant cruelty to buffalo bulls during Kambala events at different locations. Investigation shows reluctant buffalo bulls being pushed, pulled by their nose ropes, dragged to the starting point, and rampantly beaten using wooden sticks throughout the race. Some bulls also had marks on their bodies from past beatings. Many who finished the race were frothing at the mouth, salivating heavily, and displaying increased respiration rates, demonstrating that they are anatomically unsuited to racing and that these events are extremely hard on their bodies. PETA to present evidence to SC for next hearing</t>
  </si>
  <si>
    <t>Arambodi &amp; Mangalore</t>
  </si>
  <si>
    <t xml:space="preserve">The management of Paramount Floraville (Residential Colony) in Sector 137 Noida has hired a langur to keep monkeys at bay.  </t>
  </si>
  <si>
    <t xml:space="preserve">An almost blind horse has been abandoned in a garbage dump. The horse is hardly able to move. </t>
  </si>
  <si>
    <t>Wedding horse forced to dance on charpoy, while the groom sits atop the horse. The horse is being controlled through the rein. Later, another man climbs on the horse, and stands on the horse’s back-with his shoes on. This man then callously starts jumping and dancing, causing immense distress and pain to the horse.</t>
  </si>
  <si>
    <t>The snake charmer had put a snake around the neck of a man as part of a religious ceremony in Lohawat area. However the snake bit the man, who subsequently died.</t>
  </si>
  <si>
    <t xml:space="preserve">24 elephants were tortured by compelling them to walk in the scorching sun through tarred road of state highway, as part of a temple festival. A blind elephant was also paraded as part of the ‘Cheerakuzhi shasti’, a local festival. Heritage Animal Taskforce has complained to the Director, Project Elephant, MoEF. </t>
  </si>
  <si>
    <t>Charlie, a male buffalo, abandoned by a dairy farmer because he was male.</t>
  </si>
  <si>
    <t>Snake used by a 'snake charmer' for taking money from passersby near Patna High court. Animals' rights activist who tried to rescue the reptile got attacked by a mob. FIR lodged against unidentified persons.</t>
  </si>
  <si>
    <t>These langurs ‘service- providers’ cater to farmhouses, plush bungalows, hotels, RWAs, societies, factories and even government offices in Delhi and NCR. Delhi-based animal activist Abhinav Srihan recorded statements of guards manning hotels and farmhouses in south Delhi's Chhatarpur in which it emerged that they were openly flouting rules and hiring langurs.
"Finally, rescued langurs are again caught of their traffickers and are pushed back into the business," said Sukanya Berwal, who had conducted several raids for rescue of the animal and reported to cops and wildlife body for action.</t>
  </si>
  <si>
    <t>Pendrao Bujji owns three grey langurs that he will sell to farmers to scare away monkeys around their fields and plantations. Bujji has been in this “business” for 15 years and sells 10-15 langurs each month during pre-harvest seasons. The langurs fetch him Rs 3,000-12,000 depending on their size, build and age.
Under Schedule II of the Wildlife (Protection) Act, 1972, the grey langur is a protected species and it cannot be owned, traded, bought, sold or hired. Hence, Bujji has been arrested by the police twice—but was let off with a warning both times after local villagers came to his support.</t>
  </si>
  <si>
    <t>Narsapur Village</t>
  </si>
  <si>
    <t xml:space="preserve">In a wedding in Baghpat, a horse was forcefully intoxicated. When the horse lost consciousness, people physically climbed on the body of the collapsed horse and started dancing. Police stood as mute spectators. 
</t>
  </si>
  <si>
    <t xml:space="preserve">A joyride-horse collapsed in the middle of the road and the owner kept whipping him till he got up; the horse walked a few steps and collapsed again, and the owner again started whipping the horse till he got up. After much argument with a passerby, he agreed not to use the horse and take him home— he was otherwise tying the horse back to the carriage. Horse rescued the next day with the help of police. </t>
  </si>
  <si>
    <t>Talaopali, Thane</t>
  </si>
  <si>
    <t>The horse’s head is being pulled down by two men controlling the rein, while the distressed horse “dances” in the background of deafening noise and music.</t>
  </si>
  <si>
    <t>Horse found abandoned on the road with a foot fracture that healed abnormally, causing a limp in his walk. Rescued</t>
  </si>
  <si>
    <t>3 bulls and a cow neglected at gaushala, severely malnourished</t>
  </si>
  <si>
    <t xml:space="preserve">An abandoned dehydrated bull was rescued by PFA Vasco and WVS Hicks ITC. He had difficulty breathing; most probably due to plastic ingestion. A little further from where the bull was found there was plastic, garbage strewn all over and there were more cows, birds and dogs feeding on it. </t>
  </si>
  <si>
    <t>Assoi Dongri</t>
  </si>
  <si>
    <t>Sheep fight organised in Haveri District.</t>
  </si>
  <si>
    <t>Haveri District</t>
  </si>
  <si>
    <t xml:space="preserve">Ramu, a grey Langur, is hired by people to scare away monkeys. In the video, a college administration (BIMTECH) is using Ramu for this purpose. </t>
  </si>
  <si>
    <t>Two monkeys have been tied with ropes around their necks and belts around their waists. The madaari (controller) loudly plays the pellet drum while the monkey is forced to walk on his hind legs. The madaari is also seen slapping and manhandling the monkeys.</t>
  </si>
  <si>
    <t>Cow neglected by owner, found with wet wound on tail. Complaint registered</t>
  </si>
  <si>
    <t>A two-year-old bull was attacked with concentrated acid by some villagers in Bhopani, to prevent him from further grazing on their land. He received severe burn injuries on his hind limbs and lost much of its skin to attack. Members of the rescuing NGO said parts of his internal organs could also have been damaged. However, no FIR has been registered in the case.</t>
  </si>
  <si>
    <t>Bhopani village, Faridabad</t>
  </si>
  <si>
    <t>Sheep fight event held, there is a huge ring with hundreds of spectators</t>
  </si>
  <si>
    <t>Bagalkot</t>
  </si>
  <si>
    <t>Fox</t>
  </si>
  <si>
    <t>The foxes have their mouths sewn shut with ordinary needle and thread. With blood dripping from their mouths, the defenceless animals are presented to the deity. After that, their lower right ears are cut off and Street dogs, who have been captured days in advance and kept hungry, are let loose on the tied animals. Mauled, bleeding, dying, the foxes are let loose.</t>
  </si>
  <si>
    <t>Dhanaganahalli in Mysuru</t>
  </si>
  <si>
    <t>Kaveti Ranganatha is the deity of Kadaballi village. This deity is to be worshipped with live foxes on the day after the harvest festival of Makara Sankranti. The hunting of foxes begins the day before Sankranti and takes three days.
The hunters split into two groups. The first group beats drums and blows horns to drive the foxes from their hideaways. The other group waits with nets outside the holes. Scared by the noise, the foxes rush out and are captured. Sometimes, the foxes are killed while being captured and are buried on the spot, which becomes a "sacred" place. 
The captured foxes are brought back, with their mouths and legs tied, and kept in a pen behind the temple. About 30,000 people congregate for the "festivities", the liquor flows, firecrackers are exploded. At 10 pm, the trussed foxes, already half-dead with fright, are dragged out. 
Their ears are pierced with gold rings and they are stuffed onto a decorated chariot and taken in a noisy procession of drums, cymbals and dance to the temple. There, the animals are garlanded, water is sprinkled on them. Firecrackers are tied to their tails and lit. Their legs are untied and they run into the night with their tails on fire. Most die of their wounds.</t>
  </si>
  <si>
    <t>Kadaballi</t>
  </si>
  <si>
    <t>Bullock cart race held at Nagoba Jatara (second biggest festival of tribals held in Keslapur village). The race was revived after 30 years, with the villagers deriving inspiration from Tamil Nadu. “‘We drew inspiration from Tamilians who agitated against the move to stop their traditional game,” said an organiser. 25 bullock carts took part.</t>
  </si>
  <si>
    <t>Adilabad district</t>
  </si>
  <si>
    <t>Horse neglected by owner, found with front leg fracture. Complaint registered</t>
  </si>
  <si>
    <t>Moh Juj (buffalo fight) to be formally organised by Ahatguri Moh Juj Aru Bhogali Utsav Udjapan Samiti (AMJABUUS). AMJABUUS secretary Pranabjyoti Das said, "As the Tamil Nadu government has allowed organising the sport, there is no reason why we should not conduct our own Moh Juj. After all, the Moh Juj is an integral part of the cultural life in Assam.</t>
  </si>
  <si>
    <t>Ahatguri in Morigaon district</t>
  </si>
  <si>
    <t xml:space="preserve">An FIR has been filed under sections of the PCA Act against Devram Prajapati, an independent candidate, for arriving on a donkey to file nomination papers. </t>
  </si>
  <si>
    <t>Organisers of Puri beach carnival had organised camel race for "entertainment" purposes. A tourist, who was watching the festival, alleged the mahouts beat the camels mercilessly when their legs slipped on the sand and fell on the beach.</t>
  </si>
  <si>
    <t>A Jallikattu event held, 165 bulls took part. Tamil Nadu health minister Vijayabhaskar is from Rapoosal and “helped organise” the event.  3 people died and at least 51 people were injured. Regarding one of the dead, a villager said, "he played the sport skillfully... died as a warrior and we are proud of him."</t>
  </si>
  <si>
    <t>Rapoosal village, Pudukottai district</t>
  </si>
  <si>
    <t>Manjuvirattu, a version of bull-taming, was reported from a few villages in Dharmapuri district.</t>
  </si>
  <si>
    <t>Dharmapuri</t>
  </si>
  <si>
    <t xml:space="preserve">Jallikattu was conducted at Rapoosal in Pudukottai and Manapparai in Tiruchirapalli. The event at Manapparai was witnessed by a crowd of thousands. Tamil Nadu chief minister O Panneerselvam, who was expected to inaugurate the Madurai Jallikattu event, decided to return to Chennai after protesters prevented him from entering the venue. The protesters expressed dissatisfaction with the ordinance promulgated by the government, dubbing it as a “stop-gap arrangement” that’s vulnerable to legal scrutiny. </t>
  </si>
  <si>
    <t>Pudukottai, Manapparai</t>
  </si>
  <si>
    <t>Jallikattu events held in parts of Tamil Nadu with tens of thousands taking part. At Pudukottai, two participants were severely injured and died on the way to a hospital.</t>
  </si>
  <si>
    <t>Pudukottai, Trichy and Erode districts</t>
  </si>
  <si>
    <t>Bullock cart race was organised in Coimbatore.</t>
  </si>
  <si>
    <t xml:space="preserve">The competition was inaugurated by Agriculture Minister P Pulla Rao. Bulls were foced to pull a stone weighing 2 tonnes back and forth across a length of 300 feet in the time fixed by the organisers. Galleries were set up for the audience to see the competition. Around 40 bulls participated in first two days of the 6-day-event. </t>
  </si>
  <si>
    <t>Thousands of people gathered for jallikattu event, despite SC ban. The police arrested 30. Protesters wore black badges, tied black ribbons to the horns of the bulls and also hoisted black flags on their houses to decry the ban.</t>
  </si>
  <si>
    <t>Madurai district</t>
  </si>
  <si>
    <t>Rekala (bullock cart races) were held, along with Jalikattu, in defiance of the SC order.</t>
  </si>
  <si>
    <t xml:space="preserve">Goat fight event held, the goats have their horns painted, huge crowd gathered. 
</t>
  </si>
  <si>
    <t>Kohlapur</t>
  </si>
  <si>
    <t>As part of the three-day long Makar Sankranti festival, cock fights have been taking place in multiple districts of Andhra Pradesh. In Krishna district, Telgu Desam Party (TDP) legislator from Penamaluru, Bode Prasad participated in one such cock fight event. When asked about the restriction and High Court ban the MLA said that it is a part of Telugu Tradition and Sankranti and interfering in it is wrong. An estimated Rs 700 to Rs 800 crore of betting on cock fights is going to take place this Sankranthi.</t>
  </si>
  <si>
    <t>Krisna, Prakasan, Guntur, and East and West Godawari districts</t>
  </si>
  <si>
    <t>a</t>
  </si>
  <si>
    <t>Report by ILO, Brooke, and The Donkey Sanctuary</t>
  </si>
  <si>
    <t>There are an estimated 380,000 animals are estimated working in the brick kilns in India. They often live in small and temporary shelters where numerous animals are crowded with little or no space to move, no ventilation, no windows and dirty conditions. They are overworked without rest, or adequate food/water. They are frequently overloaded and it is common for animals to collapse under the weight of the bricks. 
They mostly suffer from severe physical injuries—caused either from their poor working equipment or being beaten. They are exposed to the heat, dust and toxic emissions from the chimneys. Temperatures in the brick kilns can exceed 50 degrees, which combined with lack of access to water during working hours, can lead to heat stress. 
They live under terrible physical and mental duress; with a perpetual fear of human beings, inability to walk normally without pain in their limbs, spinal pain, and eye problems. 
By keeping them hungry and thirsty, subjecting them to constant whipping and beating, and denying them enough space, proper facilities and the company of other animals of their own kind—these working equines are robbed of every iota of dignity and joy that makes any sentient being’s life liveable.</t>
  </si>
  <si>
    <t>- AWBI and veterinary scientists inspected the pachyderms in July 2016. Their report details malnutrition, overwork and abuse meted out to the animals. Their tusks have been cut without seeking permission from authorities (ivory is a valuable poaching article in the black market).                                                                                                                       - Their ears are torn from excessive use of ankus (an iron stick used for taming) and feet pads are thin and cracked from standing on concrete floors and walking on hot metal roads.                                                                                     - Moti, a female elephant, is completely blind by right eye because of which she is nervous, easily frightened and resists commands of her mahouts.                                                                                                              - A bull elephant, Hiragaj, was found to be in musth (aggressive state) but there was no bull pen at Sangam Vihar where his master keeps him, to restrain it from causing damage to public property or lives. The same bull had been reportedly involved in attacks on people and property during musth on at least two instances.                                                                                                                             - The enclosures they are kept in at South Delhi's Sangam Vihar area are tiny, dingy, and unhygienic rooms with no proper drinking water or pool facility.</t>
  </si>
  <si>
    <t>Adult. Very weak. Defanged + venom glands extracted. Less movements. Pus in the oral cavity.</t>
  </si>
  <si>
    <t>Three injured horses were seized by the police with help of PETA and AWBI. The drivers could not produce their licences and the three horses were malnourished. They had multiple wounds on their bodies that were deliberately hidden with pieces of black cloth. They were also suffering from arthritis, cracked hooves and were not fitted with shoes, that led to laminitis — an inflammation of sensitive membrane inside the hoof. A total of nine unfit and suffering horses had been picked up from Mumbai roads between July-Dec 2016 by AWBI-authorised inspectors.</t>
  </si>
  <si>
    <t>Bonnet Macaque Subadult confiscated from a Madari</t>
  </si>
  <si>
    <t>A 'bull and horse race' was  scheduled to take place at Gorai Beach, but it was successfully stopped by the police. In these races, a horse and a bull are tied to the same cart and made to race with other such carts.</t>
  </si>
  <si>
    <t xml:space="preserve">Gorai, Mumbai </t>
  </si>
  <si>
    <t xml:space="preserve">A donkey was abandoned on the highway; a speeding vehicle had hit him and slashed his shoulder. Animal Aid Unlimited rescued the equine and provided him treatment. </t>
  </si>
  <si>
    <t>A horse forced to pull a Victoria carriage collapsed of exhaustion. The Victoria rider forcefully snatched the cellphone of a bystander and deleted the picture of the horse.</t>
  </si>
  <si>
    <t>Illegal transportation for slaughter</t>
  </si>
  <si>
    <t>61 Indian desert camels were transported from Rajasthan to Bihar for being illegally traded to Banglasdesh. Complaint registered in Kishangarh police station. Case fought in High Court. One camel died during the course of legal hearings.</t>
  </si>
  <si>
    <t>Kishangardh</t>
  </si>
  <si>
    <t>Case registered against two persons suspected to have organised a bull-fight, for public entertainment.</t>
  </si>
  <si>
    <t>Varca</t>
  </si>
  <si>
    <t xml:space="preserve">Panchayat Raj minister Ch Ayyanapatrudu and MLA Peela Govinda Satyanarayana rode a bullock cart during the Jana Chaitanya Yatra. The cart was overloaded (with over 8 people). Further the bull was distressed by the huge gathering and the shouting crowds, and tried to run amok. Due to overloading, the wooden log of the cart broke and the persons fell down.  </t>
  </si>
  <si>
    <t>Visakhapatnam</t>
  </si>
  <si>
    <t>Greyhound race taking place, with hundreds of spectators</t>
  </si>
  <si>
    <t>Peta India</t>
  </si>
  <si>
    <t>There is widespread abuse and neglect of thousands of equines in India who are being used as living equipment to produce antitoxins and antivenins. any of the animals were suffering from anaemia as well as bleeding, infected, and untreated wounds, along with other serious health problems. Common physical problems included diseased hooves, malnourishment, infections, lesions, parasites, swollen limbs, lameness, an abnormal gait, and eye abnormalities, including corneal ulcers, cataracts, and blindness. Many animals were found with marks indicating they had endured painful and traumatic branding.</t>
  </si>
  <si>
    <t>Adult spectacled cobra defanged, seized from a charmer. Venom glands intact</t>
  </si>
  <si>
    <t xml:space="preserve">Police register a case against two people under sections 11 (m) (n) of the PCA Act for organising a bull fight at Colva. </t>
  </si>
  <si>
    <t>Colva</t>
  </si>
  <si>
    <t>Subadult spectacled cobra with mouth sewn up using a nylon thread. Very weak and dehydrated. Left fang extracted</t>
  </si>
  <si>
    <t xml:space="preserve">Local authorities after receiving a complaint from PFA stopped the cruel cow vs pig fight. Police raided the venue in Gokul Nagar and made sure the fight did not take place. The cow-pig fight is traditionally followed by buffalo fights, which were also stopped by the police. 
</t>
  </si>
  <si>
    <t>Entertainment led Assault</t>
  </si>
  <si>
    <t>Adult Cobra rescued from a snake charmer. De fanged. Venom glands intact.</t>
  </si>
  <si>
    <t xml:space="preserve">Complaint filed against horse owner for frequently and unnecessarily changing horseshoes, which caused sepsis on the animal’s front legs. The same accused has been repeatedly apprehended, and was last caught with 23 horseshoes. The horse has been sent to Asha Foundation in Hathijan for treatment.
Experts said horseshoes from black horses are in demand as it is believed fixing the shoe in front of the office/home wards off bad luck caused by Shani (Saturn)
</t>
  </si>
  <si>
    <t>Ramol, Ahmedabad</t>
  </si>
  <si>
    <t>Calf abandoned because of a badly set fracture</t>
  </si>
  <si>
    <t>Occult practitioners believe that sacrificing an owl on the night of the festival of Diwali brings wealth and fortune. The demand for owls is on increase as it believed to be Goddess Laxmi's rides as per the Hindu mythology. “Tantriks prescribe the use of owls and their body parts such as skull, feathers, ear tuffs, claws, heart, liver, kidney, blood, eyes, fat, beak, tears, eggshells, meat and bones for ceremonial pujas and rituals,” said an expert.
According to experts, Rampur, Moradabad and Saharanpur in Uttar Pradesh is the biggest hub of bird trade.
Jim Corbett National Park, Pilibhit, Nainital and Haldwani in Uttarakhand are also one of the prominent areas from where owls are supplied to Delhi and other metros.</t>
  </si>
  <si>
    <t>Neelkanth</t>
  </si>
  <si>
    <t>"We have rescued hundreds of Neelkant birds with their feet chopped. These birds were captured from the forests and taken to Delhi and other cities. The sellers earn a hefty amount of over Rs 5,000 only to provide a glimpse of the bird,” said Abhinav Srihan of Fauna Police. Certain section of Hindus worship these birds, particularly during Diwali and the poachers make quick bucks.</t>
  </si>
  <si>
    <t>A monkey being used to beg at the Moti Nagar flyover. He/she was forced to jump on cars with a rope tied around the neck and the face painted red.</t>
  </si>
  <si>
    <t xml:space="preserve">Moti Nagar </t>
  </si>
  <si>
    <t>A 33-year-old female Asiatic elephant Sita was rescued from the possession of Jamuna Circus. Zoo officials said the female elephant had a wound on her foot for which she is undergoing treatment.                                                                                                            - The Additional Magistrate of Shadnagar Court on March 1, 2016, had issued orders to seize elephants, horses, dogs and birds responding to a complaint from People for Animals Society, Hyderabad, against the circus with regard to their shows involving animals and birds.</t>
  </si>
  <si>
    <t xml:space="preserve">Mohan was a 56-year-old bull elephant who was suffering extensively from injuries, dehydration and malnourishment. He was stolen from the wild, separated from his family and herd in the 1960s. He was tied up and beaten so that he would be more easily trainable by his owners--as a begging elephant. The severe scars and puncture wounds on his body and his emaciated condition confirm the extensive torture and neglect he had endured over the years. Based on  Wildlife SOS' examination of his dung, he was eating plastic for food. His rescue was obstructed by hostile, violent mobs. But he was eventually rescued and placed in the custody of the forestry department.  </t>
  </si>
  <si>
    <t>3 monkeys saved from begging. One small monkey was tied up and being beaten. Two others found stuffed in a bundle of cloth. Rescued and handed over to Forest dept. "These people use terrible and inhumane methods to capture monkeys from their natural habitat. They often leave a mother monkey maimed and in agony as they make off with her babies. A monkey, whose natural lifespan extends over a decade, will die after barely a year with these people who beg. This is because in order to keep them docile, the monkeys are subjected to many horrific treatments. They are drugged with narcotic substances like Corex which are often obtained illegally. Their teeth and claws are also clipped with pliers to prevent them from hurting their masters; this causes excruciating pain and results in eating disorders in the animals. In addition to this, they are fed on garbage and are kept in cramped, filthy conditions totally unbefitting of animals who are meant to live wild and free.
You are discouraged from entertaining these panhandlers with monkeys. Instead of supporting their cruelty by giving them alms, please report it to an animal rights organization like Blue Cross. Three young monkeys were saved, and many more before that, you could be responsible for ending a life of torture and abuse for one of these defenceless creatures."</t>
  </si>
  <si>
    <t>Adult Bonnet Macaquewith broken Canines, was kept in proximity to human beings</t>
  </si>
  <si>
    <t>Subadult Bonnet Macaque seized from a Madari. Entire body hair dyed black</t>
  </si>
  <si>
    <t>Pig-fights are regularly conducted in these districts by members of some tribes, but bets are made by a large section of public. Spectators make bets from Rs 500 to Rs 5,000 depending on animals and the dealer gets commission in cash from the winning party. Owners of the heavy male pigs poke them with sticks to engage in fight with each other. Sometimes, wild boars are used, which inflict deep gashes on their rival’s body using their two strong fangs. The defeated pig is taken over by the master of the winning pig. For one such fight, local police reached the spot and nabbed 36 people and seized 41 two-wheelers from them.</t>
  </si>
  <si>
    <t>Kadapa, Guntur and Prakasam districts</t>
  </si>
  <si>
    <t>PFA Hyderabad led the rescue of animals -- including 1 elephant, 8 dogs, 7 pups, 5 exotic birds and 6 geese-- from the Jamuna circus. AWBI conducted an investigation of the circus and found that there were "pregnant dogs which were bred without license from the AWBI, there were maggot wounds and injuries due to hitting. The horses had badly overgrown hooves and their pens had rusted metal rods which were in close proximity to open electrical wiring. The Birds were mutilated by having their flight feathers cut. The elephant had multiple ailments, including an injured right front leg, as reported in detail by the veterinarian."</t>
  </si>
  <si>
    <t>Grey hound race held at Kila Raipur Sports Festival.</t>
  </si>
  <si>
    <t>Tivoli Hotels and Resorts were keeping a langur in captivity to shoo away monkeys. No action was taken against the owner of the Tivoli Hotels and Resorts; the Wildlife Inspector also failed to record any evidence. Rescued Langur was not sent to Delhi Zoo for treatment, care and shelter.</t>
  </si>
  <si>
    <t>Chattarpur</t>
  </si>
  <si>
    <t>Calves tied with really small ropes in a temple, one of the calves (white) was just 15 days old and had a scar on his face. They were kept for display as people love watching small calves.</t>
  </si>
  <si>
    <t>Kota</t>
  </si>
  <si>
    <t>-As part of a ritualistic feeding ceremony held at the famed Vadakkumnathan temple, over 50 elephants were forced to eat a mixture of jaggery and tender coconut pieces and boiled rice mixed with oil, which are uncongenial for their health conditions. ​
-Heritage Animal Task Force (HATF) also alleged that many elephants were forced to stand on three legs at the entrance of the heritage temple as a mark of respect to Lord Vadakkumnathan, the presiding deity. ​​                                                                                           - A female elephant was forced to push a lorry when its tyres got submerged in the mud at Thekkinkadu ground in front of the temple.​​ The SC direction of not parading elephants without having ownership certificates was also violated.​​                                                                                                                 -HATF Secretary V K Venkitachalam wrote a complaint letter to the Director of ‘Project Elephant’.  ​</t>
  </si>
  <si>
    <t>Adult seized from snake charmer, defanged. Found with dried pus in the oral cavity, venom glands intact</t>
  </si>
  <si>
    <t>PFA Hyderabad rescued snakes on the day of Nag panchami. Snakes are protected under the Wildlife Protection Act, 1972 and their capture, display and transport is illegal.</t>
  </si>
  <si>
    <t>The donkeys were forced to carry back-breaking loads of construction materials.
They were rescued by Animal Rahat.</t>
  </si>
  <si>
    <t xml:space="preserve">An abandoned bull was found near the main gate of Modern School. Almost 50-60 % of the bull's skin was burned by acid. Though it could not be found out who burned the animal, locals said that it belonged to a farmer who abandoned it under a superstitious belief. PFA rescued the animal. </t>
  </si>
  <si>
    <t>Horse with Acid burns.</t>
  </si>
  <si>
    <t>Bull fight conducted opposite the South Goa district hospital, drawing a huge crowd. It is only after the fight had ended and people dispersed that the police jeeps came to the spot. The police said they are registering a case against the organisers and the owners of the fighter buffaloes.</t>
  </si>
  <si>
    <t>Ambaji</t>
  </si>
  <si>
    <r>
      <t xml:space="preserve">Pigeon racing, or </t>
    </r>
    <r>
      <rPr>
        <i/>
        <sz val="12"/>
        <color theme="1"/>
        <rFont val="Arial"/>
        <family val="2"/>
      </rPr>
      <t>kabootarbaazi</t>
    </r>
    <r>
      <rPr>
        <sz val="12"/>
        <color theme="1"/>
        <rFont val="Arial"/>
        <family val="2"/>
      </rPr>
      <t>, is a sport of one society which believes that it was done by the Mughal rulers and it shows their past glory.
The birds are bred in tiny cages in dirty lofts, only to be taken out for training and racing. Paratyphoid, Canker, Coccidiosis, E-Coli, Ornithosis, Sour Crop, Diarrhoea and Newcastle disease are common, and sick birds are not treated but killed immediately.
Their wings are clipped to keep them from escaping and tied together with safety pins. Each wire cage or cardboard carton is crammed with birds unable to move.
These birds were raised in captivity and cannot fend for themselves in the wild. Those who don't make it home will likely starve to death. They fly into objects they cannot see, in darker weather conditions, like electricity pylons or TV aerials.
When these pigeons fly above large bodies of water, they often get tired and, with nowhere to land, many drown.
Birds who survive, but are unlikely to win races, are “basket culled” - killed by suffocation, drowning, neck-breaking, gassing, or decapitation. One typical owner buys 12 baby pigeons before he finds one he can use. The others are killed.</t>
    </r>
  </si>
  <si>
    <t>Two men (Ramdas Jatav and his son) attacked a mare named Basanti with sharp-edged weapons, after it grazed their sweet potato crop. The men, armed with axe, attacked Basanti till it slumped on the ground. It has sustained deep cuts on its front legs and one at the hind limb. Case registered against two persons</t>
  </si>
  <si>
    <t>Etah</t>
  </si>
  <si>
    <t>Lawazama is a company that caters animals for royal functions; their website says: “We have a full service Lawazama Back up where we arrange the Rented Animals, Carts, Buggy…The Animals are also used for Game of Elephant Polo, Horse Polo or Camel Polo.”
These royal weddings have events like elephant polo, where these lumbering animals are made to run and kick balls—in a sport that causes them nothing but pain.</t>
  </si>
  <si>
    <t>Bonnet Macaque Sub adult with collar and chain seized from a Madari</t>
  </si>
  <si>
    <t xml:space="preserve">At a “royal” wedding in Odisha, an elephant from Rajasthan was hired. The authorities were pushed into giving permission because the families are well-connected politically. The animal had to travel hundreds of miles for the wedding. </t>
  </si>
  <si>
    <t>Two goats rescued from a circus where they were forced to tight rope walk on metal wires and jump off heights. If they didn't, they were whipped</t>
  </si>
  <si>
    <t xml:space="preserve">In the video, both the monkey and the dog have ropes around their necks. The dog also has injuries on his face. The monkey is made to pull the dog’s rope, causing the latter great distress. The dog in return, attacks the monkey. They are made to fight. The madaari then forces the monkey to stand on his hind legs; and also slaps and manhandles the monkey. The monkey is visibly distressed and tries to remove the suffocating collar around his neck.
The madaari has also trapped a mongoose in a small congested box. He then opens the box and places it in front of the monkey; making them both growl at each other. He also hits the mongoose with a stick multiple times. </t>
  </si>
  <si>
    <t>2 Bonnet Macaques in captivity for 14 years. One had a missing right hand, and the other did not have any leg past the knee joint</t>
  </si>
  <si>
    <t>Donkey abandoned with bad foot fracture</t>
  </si>
  <si>
    <t>A joint operation of police and forest department officials, supported by inspectors authorised by the AWBI, rescued 22 animals from Rambo Circus. PETA and FIAPO investigations reveal that the circus was illegally using three horses, one pony, 14 dogs and four elephants for performance. The elephants were forced to play cricket, stand on a small circular stool, hold a ring and carry a girl sitting on the ring. The dogs were forced to jump through hoops, take piggyback rides on each other and walk only on hind legs while pushing a barrel that had another dog inside. The horses were paraded and made to open a box and remove a cloth of the colour chosen by the audience. The AWBI inspection team established that the circus was using animals in apparent violation of the Performing Animals (Registration) Rules, 2001.</t>
  </si>
  <si>
    <t xml:space="preserve">AWBI has rescued 17 animals from RajKamal Circus following complaints that they were allegedly tortured during practice for the shows. The rescued animals include a horse, five dogs, and eleven exotic birds (six cockatoos, three African grey parrots and two emus)
</t>
  </si>
  <si>
    <t>Bengaluru</t>
  </si>
  <si>
    <t xml:space="preserve">Case of cruelty registered and complaint filed against owner of a horse for causing grievous injury to animal. Horse torturer Imram Khan Pathan arrested. He frequently nailed in and removed horseshoes from the animal's leg; horseshoes are sold as good-luck charms. Horse limped and developed sepsis due to frequent removal of nails on the shoe.
</t>
  </si>
  <si>
    <t xml:space="preserve">2 Pomeranian puppies, a pug, a Persian cat, 4 rabbits, 4 guinea pigs, 3 cockatoos, 3 turkeys, 6 mice, 1 cock, 1 duck, 4 budgerigars, 4 fantail pigeons, 35-40 colored chicks, 2 doves and 3 love birds were rescued from Kaivalya summer mela. The accused was collecting Rs.10 per person to see the animals-- that were kept in deplorable conditions, without food and water, in a thick plastic tent, under high temperatures due to the lack of fans or coolers and no ventilation. The chemicals used to colour the little chicks would kill them slowly and painfully. </t>
  </si>
  <si>
    <t>Camels were controlled through ropes piercing their nose. These ropes were constantly pulled, tugged on by their caretakers. Hundreds of tourists riding the camels hour after hour. The camels also have skin diseases that's taken away their fur.</t>
  </si>
  <si>
    <t>Nubra Valley, Ladakh</t>
  </si>
  <si>
    <t xml:space="preserve">Wedding horse forced to dance. Controller keeps pulling the reins, and another person hits the hind legs with a wooden stick, to make the horse “dance”--while the groom sits on his back. The horse is visibly disturbed and distressed. All around there are flickering lights—that would hurt the horse’s eyes. </t>
  </si>
  <si>
    <t xml:space="preserve">Video shows tired elephant being used for begging on the Streets. </t>
  </si>
  <si>
    <t xml:space="preserve">Sultan was rendered lame after years of abuse as a wedding horse. His injured hoof had a heavy maggot infestation and he could barely stand. 
As a wedding horse, he’d have been subject to glaring lights, deafening fireworks and jarring music. PFA Chennai treated him. 
</t>
  </si>
  <si>
    <t xml:space="preserve">Shaktiman, a police horse was attacked by Ganesh Joshi, a BJP MLA from Mussoorie, along with other BJP members, during a BJP protest in Dehradun. She suffered fractures and her leg had to be amputated. The horse eventually died. MLA Joshi and BJP worker, Pramod Bora, were arrested in connection with the incident, but later released on bail. 
</t>
  </si>
  <si>
    <t xml:space="preserve">53-year-old Asian elephant ‘Rhea’ was exploited for over four decades at a circus in Tamil Nadu. ‘Rhea’ was trapped and caught from the wild as a calf and sold to the circus by poachers and traders. As a calf, ‘Rhea’ was beaten and starved into submission.                                                                                                                                                    - For the next 40 years, she performed uncomfortable and painful tricks to amuse the circus audience.                                                                                                                                  - Arun A Sha, veterinary director of Wildlife SOS, who carried out the examination said that ‘Rhea’ has suffered greatly, and has multiple scars and abscesses from the use of bull-hooks, and is in desperate need of medical attention. “She has severely cracked toenails and swollen footpads that make it extremely painful and difficult for her to walk, resulting in an awkward limping gait.”                                                                              </t>
  </si>
  <si>
    <t xml:space="preserve">A two-year-old pet horse suffered severe burn injuries after its owner applied some hot paste on the animal’s body under some superstitious belief. The horse ultimately died due to choking as its neck was tightly tied to a rope.                                                                                                             - Medical negligence: no doctors were available to attend to the horse. “We kept calling for doctors for over 10 minutes but nobody was available. When a lady doctor finally came, she prescribed an injection and asked us to get it from outside. It is strange how a veterinary hospital had no injections or medicines to give immediate treatment to the horse."                                                                                                                                                                                - "Had the doctors been prompt enough, the horse would have been easily saved,” said PFA city chief Karishma Galani.
</t>
  </si>
  <si>
    <t>Sikander, 10 year old mule, forced to carry a load of fruit racks beyond his capacity. He has an injured leg, and the owner further makes three people sit on the cart as Sikander struggles to barely stand. He's neither given horseshoes nor enough water to drink as he struggles in the hot sun. Rescued by PFA Hyderabad</t>
  </si>
  <si>
    <t xml:space="preserve">Badly injured camels - mainly with injuries around the nose/septum (the most sensitive part of the Camel's body), confirming abuse while forcing it to work, possibly to carry humans and other goods. </t>
  </si>
  <si>
    <t xml:space="preserve">A carriage horse was injured after an over-loaded cart over-turned, and the horse collapsed on the road. Eyewitnesses said the overloading of the cart led to the incident as the horse could not bear the weight of the cart. An animal ambulance arrived only after an hour.  </t>
  </si>
  <si>
    <t xml:space="preserve">The police conducted a raid at a ram-fight event where 500 people were present, and persons had bet amounts ranging from Rs 500 to Rs 10,000. Before a fight, the rams are given drugs to prep them up. Sheeps are imported from Afghanistan for such fights. The police arrested 12 persons and seized two sheep, but the owner of one of the sheep stole it from the police station’s backyard and put in its place a “close lookalike”. </t>
  </si>
  <si>
    <t xml:space="preserve">An unidentified person threw acid on a malnourished pony, who suffered damage to his eyes, face, neck and a portion of his front leg. Blue Cross received information about the pony and rescued it; they said they're in the process of filing a complaint. </t>
  </si>
  <si>
    <t xml:space="preserve">Royal wedding held in Jaipur palace, with a baraat that included elephants, horses and camels. Guests included Kashmir royals, Arvind Singh Mewar, the Scindias, Devyani Rana, Randhir Singh of Patiala, Kalikesh Singh Deo of Orissa, etc
</t>
  </si>
  <si>
    <t>Injured horse regularly used for weddings in Delhi. The owner doesn't feed him; just leaves him to graze for himself. He eats from the dumpster. His legs are swollen and he can barely walk. His face is injured and has a lot of infection.</t>
  </si>
  <si>
    <t>Jasola</t>
  </si>
  <si>
    <t>Assault by Abandonment/Starvation</t>
  </si>
  <si>
    <t>AWBI lodged a police complaint stating that though the animals were not medically fit, they were forced to do strenuous work; they were also not getting proper treatment and food. 3 camels kept in the circus are severely infected with maggots and other injuries. TOI found in its investigation: two camels had leg injuries while one had an infection near its mouth.</t>
  </si>
  <si>
    <t>Kasturchand Park, Nagpur</t>
  </si>
  <si>
    <t>A six-day Kabootarbaazi contest was organised in Agra. The event involves nearly 2,500 pigeons, which are trained by their masters, known as Khalifas. While the pigeons are in flight, the master gives directions with his voice, which the birds follow. Some birds cannot follow the commands and end up landing in the rival’s camps, and the camp with most birds wins. AWBI got the event cancelled due to the animal cruelty involved. Kamna Pandey, co-opted member of AWBI, said that the pigeons used in the contest were in distress, fear and often fought with other pigeons, causing injuries. Harmful colours are applied on the pigeons for identification.</t>
  </si>
  <si>
    <t>An abandoned bull with a huge wound on its hump; bleeding profusely. The wound has been infected by maggots</t>
  </si>
  <si>
    <t xml:space="preserve">Days before the festival, snakes are traced and captured from forests, stored in cramped boxes and their fangs are removed mercilessly. A hot needle is pinched into the snake's venom ducts that bursts the glands wounding the snake. Their teeth are violently yanked out, and many snakes’ mouths are painfully sewn shut.
Some snakes go blind because the ‘tikka’ (vermilion), which is applied to their hoods during the pooja, trickles into their eyes.
The snake is starved for days before the festival as a result of which it drinks the milk instantly when offered by the devotees. Their body's inability to digest lactose present in the milk causes dehydration and allergic reaction, mostly leading to death. </t>
  </si>
  <si>
    <t>Heritage Animal Task Force (HATF) has accused that the elephant (Prahladan) is used for ceremonial parading at various temples in Pathanamthitta and Kollam, in blatant violation of the prevailing rules.                                  - The mahout of the elephant and its festival contractor were known for torturing animals and Prahladan had wounds all over its body. The contractor and the mahout had tied a motorcycle chain, fitted with sharp nails, around the front right leg of the elephant. The mahout sitting atop holds an extension of the chain. To control the animal, the mahout pulls the chain, causing the hidden nails to pierce the animal’s leg.                                                                                                      - The custodian of the elephant allegedly did not have the mandatory ownership certificate as per the Wildlife Protection Act-1972.</t>
  </si>
  <si>
    <t>Pathanamthitta and Kollam districts</t>
  </si>
  <si>
    <t xml:space="preserve">Municipal department officers brought grey langurs to scare away monkeys in the village. The langurs can be seen tied with chains around their necks, while their controller walks them with a stick in his hand. </t>
  </si>
  <si>
    <t>Mallial</t>
  </si>
  <si>
    <t>More than 20 buffaloes fought in the event organised in defiance of SC orders. The local government administration also turned a blind eye to the fight. Traditional bull fights have been the main attraction of the Bhogali Bihu, the harvest festival of Assam.</t>
  </si>
  <si>
    <t xml:space="preserve">Ahutguri
</t>
  </si>
  <si>
    <t>Children from Palayamkottai and nearby areas go to school in bullock carts. The driver carts around 20 students studying in primary school (overburdening of the bullock).</t>
  </si>
  <si>
    <t xml:space="preserve">Bulbuls or “songbirds”, protected under the Wildlife Protection Act, 1972, are reportedly captured from the wild by villagers who then train them by intoxicating their food with marijuana and starve the bird a night before the fight. Villagers claim it is a 400 year old tradition to have these bulbul fights in Haigrib Madhab Temple on the day of Bihu. Sangeeta Goswami of PFA says that apart from the pre-fight torture, a number of birds do not survive the injuries received during the fight itself. The Gauhati HC has previously put a stay on the fight. 
</t>
  </si>
  <si>
    <t>Hajo</t>
  </si>
  <si>
    <t>AWBI filed a reply in the Bombay HC detailing cases of animal cruelty by the Gemini circus. The observations include, “A female trainer tapped a dog’s front legs with a metal rod, animals were kept in crammed cages without food and water, horses couldn’t walk because of overgrown hooves and were hit with wooden sticks, wings of birds were clipped, wound marks and swollen legs of animals were visible, birds were coerced into performing."</t>
  </si>
  <si>
    <t>AWBI says it has specific inputs that pigeon-fight contests are held in Aligarh, Lucknow and Faizabad. AWBI has written letters to the district magistrates of these cities to ban the events. Small spears are tied to the birds’ feet with training imparted to them to kill their opponents. AWBI also claims that often the owner of the losing bird kills the injured bird as it is a matter of shame.</t>
  </si>
  <si>
    <t>Aligarh, Lucknow and Faizabad</t>
  </si>
  <si>
    <t>5 elephants were left at the Fun Fort Recreation Centre by Gemini Circus. One of the elephants died after voluntarily starving herself. The elephants were kept in in an unhygienic environment and deprived of proper nutrition and water. They had developed skin infections because they weren’t bathed for many months or even a year.  Elephant dung lay in heaps that had not been cleared by the caretakers. 
They had developed flat feet and that there were blood clots. One of them had a hole on the right ear pinna because of a bull hook, used by the mahout.
Their front legs and one of hind legs are tied to a pole, giving them only about a metre of space to move around. The elephants are suffering with inadequate nutrition, wounds, cataract, skin diseases, and lack of scientific foot care.
The elephants are mentally suffering— showing stereotypic behaviours such as swaying and trunk-weaving.</t>
  </si>
  <si>
    <t>Mandya district</t>
  </si>
  <si>
    <t>Shed where sporting pigeons were being reared was torched by unknown assailants. 10-50 pigeons (differing accounts) were killed. Despite AWBI's interventions, the assailants haven't been identified. Police suspect it to be an act of rivalry between pigeon fliers in the city</t>
  </si>
  <si>
    <t>Spectacled Cobra seized from snake charmer. Defanged + Venom glands absent (both)</t>
  </si>
  <si>
    <t>Many people buy these birds (Palapitta or Neelkanth) from the bird market, like the Murgi bazar in Hyderabad, and let them free after making a wish. The less well-to-do get to take a peek at a bird in a cage or under a towel in the hands of a ‘bird charmer.’
Usually, these ‘charmers’ sit outside temples late in the evening on Dussehra day and let people take a peek at the bird or hold it for a small fee. Once the festival is over, the unfortunate bird usually dies, as she would have been starved for almost a month (Indian Rollers are hard to feed in captivity).</t>
  </si>
  <si>
    <t xml:space="preserve">A cow was terribly injured from a rope deeply embedded in her neck, abandoned at the city garbage dump. The rope was so deeply embedded, that it had caused her entire neck to bleed. Further, there were maggots infecting the neck. Animal Aid Unlimited rescued the cow and provided treatment. </t>
  </si>
  <si>
    <t xml:space="preserve">Video shows two cows/bulls tied to the same cart and forced to race—with the rider brutally whipping them. </t>
  </si>
  <si>
    <t>Spectacled Cobra De-fanged, venom glands also extracted. Swollen face. Pus from nostrils</t>
  </si>
  <si>
    <t>Confinement and Assault for entertainment</t>
  </si>
  <si>
    <t xml:space="preserve">Following AWBI investigations, Grand Circus gave up all its animals for rehabilitation. These included a camel, seven horses and ten dogs. The condition of the animals was miserable and they were not even fed properly. Some of the dogs were in a critical condition and had severe infections. One of the dogs was partially blind. The camel was forced to perform despite being pregnant. </t>
  </si>
  <si>
    <t>Two ponies were rescued from the Rambo Circus following a legal complaint that detailed numerous animal-welfare violations. They were forced to perform with inadequate food, water, and shelter.</t>
  </si>
  <si>
    <t xml:space="preserve">57 elephants living in brutal conditions. Nandan has never been released for even an hour in 20 years. Padmanabhan's leg was broken deliberately 15 years ago to subdue him. From October to May, an elephant will take part in 100 to 150 festivals. They will travel 3,720 miles in three months on a flat-bed truck. They are surrounded by thousands of people, noise, firecrackers. They are routinely temporarily blinded, to make them wholly dependent on the mahout. Three elephants died in 2015. </t>
  </si>
  <si>
    <t>Guruvayur</t>
  </si>
  <si>
    <t>Baby monkey used for begging, rescued</t>
  </si>
  <si>
    <t>T. Nagar, Chennai</t>
  </si>
  <si>
    <t>Nearly 40 abused animals rescued from moonlight circus. They include 4 elephants, 5 horses, 1 camel, 16 exotic birds such as African parrots and 13 dogs. The investigation report found elephants restrained at all times; camels, horses, dogs, and birds housed in cramped and filthy living spaces; and all animals deprived of everything natural and important to them. The bird’s flight feathers were clipped so it could never fly again</t>
  </si>
  <si>
    <t>Nanded district</t>
  </si>
  <si>
    <t>Spectacled Cobra Adult. De fanged. Venom glands intact</t>
  </si>
  <si>
    <r>
      <t xml:space="preserve">Tamil director Vetrimaaran made a film in 2011 </t>
    </r>
    <r>
      <rPr>
        <i/>
        <sz val="12"/>
        <color theme="1"/>
        <rFont val="Arial"/>
        <family val="2"/>
      </rPr>
      <t xml:space="preserve">Aadukalam, </t>
    </r>
    <r>
      <rPr>
        <sz val="12"/>
        <color theme="1"/>
        <rFont val="Arial"/>
        <family val="2"/>
      </rPr>
      <t xml:space="preserve">centred around rooster fights. Vetrimaaran now intends to make a film on pigeon racing. The 2015 film </t>
    </r>
    <r>
      <rPr>
        <i/>
        <sz val="12"/>
        <color theme="1"/>
        <rFont val="Arial"/>
        <family val="2"/>
      </rPr>
      <t>Maari</t>
    </r>
    <r>
      <rPr>
        <sz val="12"/>
        <color theme="1"/>
        <rFont val="Arial"/>
        <family val="2"/>
      </rPr>
      <t xml:space="preserve">, starring Tamil super-star Dhanush, also showed pigeon racing. </t>
    </r>
  </si>
  <si>
    <t>Camels taken to Juhu for joyrides on beaches are working in terrible conditions. The saline water makes their feet sore. They have numerous skin diseases and wounds. When they fall sick they are tied up, abandoned and left to drown.</t>
  </si>
  <si>
    <t xml:space="preserve">Ongole Municipal Corporation is using langurs to scare away monkeys.
</t>
  </si>
  <si>
    <t>Ongole</t>
  </si>
  <si>
    <t xml:space="preserve">In a farmhouse in Haryana, people gather to watch dog fights. It’s the new pass time for suburban elites, and lakhs of rupees are bet on these fights. Apart from Gurgaon, dog fights are held in farmhouses of Bhatinda (Punjab), Jhajhar (Rajasthan), Wazirabad (Delhi), Noida (Uttar Pradesh), and Faridabad (Haryana). The police have made a few arrests, but the dog-fighting racket continues unabated. These fights are publicised on Facebook pages as “dog shows”.
The losing dog is either shot on the spot, or they tie his/her legs with ropes and throw the dog into a canal—where she drowns because she can’t swim with tied legs. </t>
  </si>
  <si>
    <t>“In last 9 months, we have rescued 20 monkeys from locations like MKB Nagar, Marina, Red Hills and T Nagar,” says Arun Prasanna, founder, People for Cattle in India. Blue Cross of India say they rescue about two or three monkeys every week. “On April 14, we rescued 11 monkeys that were being used for begging,” says Dawn Williams of Blue Cross.
Most of the monkeys are in a bad shape and malnourished, with their ears and noses pierced. “Since monkeys get aggressive, people who use them often crush their teeth, so most of the monkeys we have rescued have broken teeth. They feed them with scraps from nearby food stalls. These animals are malnourished and don’t survive beyond 6-7 months,” says Williams
These monkeys are being brought in from forests in Vellore, Kancheepuram, and Andhra Pradesh. “What is worse, for every baby monkey you find captured, you will probably find one more baby monkey that was injured while being captured or a mother monkey that has been shot or left to die protecting it,” says Chinny Krishna, vice-chairman, AWBI.</t>
  </si>
  <si>
    <t>5 limbed calf considered to be God's miracle, caught by devotees, and used for begging. They tied the calf inside a motorized cycle rickshaw. She was restricted severely, leaving her barely any space to sit, stand, or move. The group had traveled all the way from Sholapur district in Maharashtra to Chennai in order to collect donations. Their journey was to be all the way to Kanyakumari, but they were stopped. Police called, calf confiscated and handed over to shelter which found her severely dehydrated, malnourished, and terrified of everyone. Under treatment</t>
  </si>
  <si>
    <t>Thiruvanmiyur</t>
  </si>
  <si>
    <t xml:space="preserve">Assault </t>
  </si>
  <si>
    <t>Documentary</t>
  </si>
  <si>
    <t>Ongole bulls abused in weight-lifting competition; forced to drag 1,600 kg boulder on the flood-lit ground. Former Union Minister Daggubati Purandeswari joined the spectators in the event.</t>
  </si>
  <si>
    <t xml:space="preserve">Madirallapadu village </t>
  </si>
  <si>
    <t>Animal rights activists criticised Congress for using donkeys in their protest against price rise in the markets. The donkeys were made to lead the protest march. The use of donkeys in a political rally or protest march was violation of the provisions of the PCA Act. Forcing donkeys in any sort of demonstration is an unnatural behaviour with the animal. The animal is generally tied with a rope or forced to move in a particular direction. Besides the pitch of slogans or loudspeakers is higher than 20 decibel, which is harmful for the health of the animals.
However, Congress city president Dinesh Yadav told, “Neither any placards or posters were put on the donkeys nor were they beaten to walk in a particular direction during the rally. So there was no violation of any animal cruelty Act.”</t>
  </si>
  <si>
    <t>Jabalpur</t>
  </si>
  <si>
    <t>Three goats, two horses, nine dogs, and one camel were rescued from the Great Kamal Circus. The investigations by PETA India and Animal Rahat revealed animals were being forced to perform without the required permission from the AWBI, in violation of the Performing Animals (Registration) Rules, 2001. The camel was forcefully paraded in front of screaming crowds; and was yanked around by a rope tied to his nose ring, which had torn his nostrils. The goat had to walk a tightrope several feet off the ground and balance precariously on a 5-inch-wide platform. The horse was forced to jump over 4-foot-high obstacles. The dogs were made to walk on their hind legs alone while holding an umbrella and push a wooden roller while one dog stood inside; one dog has a serious wound between the toes of her left hind leg. The animals were kept in filthy conditions and were not being provided with adequate food and water.</t>
  </si>
  <si>
    <t xml:space="preserve">Camel used for joyrides; is injured and bleeding. Severely under-fed, can see his bones in the photo. Was sitting in his own excreta. </t>
  </si>
  <si>
    <t xml:space="preserve">The annual Thrissur Pooram festival would continue to see elephants being paraded and abused, as both the Kerala HC and State government decline to interfere. 
At least 70 caparisoned elephants would be made to stand under the scorching sun with an average of four people atop from 11 AM to 2 PM and another batch of 30 elephants of the main pooram organisers — Thiruvambady and Paramekkavu devaswoms — would stand continuously from 11 AM to 9 PM in the night.
V K Venkatachalam, Heritage Animal Task Force chief said, “As part of security, it has been decided this year to chain the feet of the elephants together to ensure that there is no free movement for the animal which is a clear violation of rules under Prevention of Cruelty to Animals.”
Elephants forced to participate in parades are trained through physical punishment and the constant threat of being struck with a stick or an ‘ankus’ (a weapon with a sharp metal hook on the end).
</t>
  </si>
  <si>
    <t>Dehydrated and emaciated camel rescued</t>
  </si>
  <si>
    <t>Members of Andhra Pradesh Congress stuffed live doves into rocket cones and fired them, to welcome party chief N Raghuveera Reddy. Two doves fell dead while the rest had their wings and claws scorched. Cadres had even tied party flags to the necks of the birds, meant to unfurl once the rockets exploded and released the doves. West Godavari police have registered a case against three people.</t>
  </si>
  <si>
    <t>Adult macaque found to have close association with humans, which indicates being raised in captivity</t>
  </si>
  <si>
    <t>As part of the competition, bulls had to pull a 2,200 kg weighing rock to as much distance as possible in a certain time limit. Based on the distance covered, the organisers presented prize money to the owner of bulls. Six people goad each pair of bulls to pull the weight for as much distance as possible in the time given. Bulls from across Telangana and Andhra Pradesh were forced to participate in this event.</t>
  </si>
  <si>
    <t xml:space="preserve">Nalgonda district </t>
  </si>
  <si>
    <t xml:space="preserve">60-year-old blind elephant, Lakhi, had been forced to beg on Streets and work at private functions. Medical investigation showed that she had deep wounds on her feet that emitted a foul smell, and there were other wounds all over her body and holes in her ears caused by constant torture. Lakhi was rescued after activists got a tip-off that she was being forced to work at a film shoot in Karjat, Raigad district. PFA activist Manoj Oswal said, "In the past two years, the other two elephants owned by Ramesh Lekhraj Pandey have passed away after being forced to beg on the Streets of Pune." </t>
  </si>
  <si>
    <t>As part of the annual Maha Sivaratri Jatara festival, eight pairs of bulls took part in  competitions; including a weight lifting competition where a pair of ongole bulls was forced to pull over two tonnes of weight.</t>
  </si>
  <si>
    <t xml:space="preserve">Horses forced to jump through ropes/bars that are lit on fire </t>
  </si>
  <si>
    <t xml:space="preserve">Dog fighting is popular in many villages and farmhouses in the district. In the winter season, people from affluent sections bring expensive breeds of dogs to participate in these dog fights. The dogs are left to starve 2 days before the fight begins, as a result of which they become aggressive; in many cases the dogs die in these fights. </t>
  </si>
  <si>
    <t>Hanumangarh</t>
  </si>
  <si>
    <t>Langurs used in security team of Telangana Ministers Harish Rao and Jogu Ramanna, while they participated in the Haritha Hāram program (large-scale tree-planting program).</t>
  </si>
  <si>
    <t>Warangal</t>
  </si>
  <si>
    <t>Eleven monkeys had been kept tied up in small, filthy bags—by gypsies at the Marina Beach, who use them for begging. The beggars feed them with nothing but scraps from dustbins and measly leftovers.</t>
  </si>
  <si>
    <t>Marina beach, Chennai</t>
  </si>
  <si>
    <t xml:space="preserve">Organisers of the Kila Raipur Rural Sports Festival announce that instead of bullock-cart race they will have horse-cart races this year. Vinod Kumar, assistant secretary of AWBI, said, "No permission has been sought for any horse-cart event at Kila Raipur." The organising committee said chief minister Parkash Singh Badal and food minister Adesh Partap Kairon would distribute prizes at the conclusion of the event. </t>
  </si>
  <si>
    <t>Despite police warnings, a jallikattu event took place with over 1,000 bulls, and local MLA Chevireddi Bhaskar Reddy inaugurating the event. Bulls were forcibly administered country liquor, apart from the animals being intoxicated with doses of ganja-mixed jaggery lumps.</t>
  </si>
  <si>
    <t>Rangampeta village, Tirupati</t>
  </si>
  <si>
    <t xml:space="preserve">Animals are forced to carry enormous loads of bricks, iron, sugarcane, and cinder blocks that are too heavy for them. And then people ride on top of the loads.
Ill-fitting yokes and heavy harnesses cause open sores and injuries, and nose ropes tear through cartilage, leaving open, bloody wounds.
Whips are used on their backs, rods are thrust into their rectums, and torture devices made of spikes and wire are used to punish them for turning their heads.
Despite long hours of labor, animals receive little salt or sustenance, sometimes surviving on only dry weeds and a little fodder, leaving them thin, exhausted, and run down.
</t>
  </si>
  <si>
    <t>3 day annual camel-festival in Rajasthan with several camel related activities, including camel racing and camel dancing. In the race, the camels are seen being brutally whipped by their riders. The event also includes the cruel practice of camel wrestling.</t>
  </si>
  <si>
    <t>The police arrested 10 horse-cart drivers for racing their carts on the Western Express Highway in the morning. The police also noted that the horses were treated cruelly.</t>
  </si>
  <si>
    <t>Cockfights have turned into a major gambling activity in several villages of Odisha's Kendrapara district. The cock fights begin from 'prathamstami' (November 15) and continue till Makar Sankranti (January 15). The police mostly turns a blind eye to these events.</t>
  </si>
  <si>
    <t xml:space="preserve">Kendrapara district </t>
  </si>
  <si>
    <t>Bullock</t>
  </si>
  <si>
    <t xml:space="preserve">People across India attend the annual fair celebrating goddess Mayakka Devi. Approximately 2500 bullocks, ponies, and horses  are forced to run for two days straight—for distances between 100 and 250 kilometers—hauling carts packed with large families. Animal Rahat has intervened to provide emergency veterinary care to animals and free chartered buses to carry families (more than 600 people availed the service). </t>
  </si>
  <si>
    <t>Chinchali, Belgaum</t>
  </si>
  <si>
    <t>Wedding horse forced to dance on a charpoy, with the groom on the top. There is loud music playing, while the controller keeps tapping the horse with a wooden stick (triggering her/his pain response, based on months of cruel “training”)</t>
  </si>
  <si>
    <t>Pushkar Fair has a tradition to exhibit dancing horses. The horse is being repeatedly controlled through the bridle (and hooks pierced through her/his nose), although the horse is visibly distressed and anxious. S/he is also being hit with a wooden stick to make her/him stand on her/his hind legs.</t>
  </si>
  <si>
    <t>Langurs have been hired by Vrindavan administration to scare of the rhesus monkeys before President Pranab Mukherjee's visit to the Bankey Bihari temple</t>
  </si>
  <si>
    <t>Vrindavan</t>
  </si>
  <si>
    <t xml:space="preserve">The legs of the pig are tied with a rope held by a man who flings the nervous animal into a group of cows, who use their horns to batter the pig to death. This is a part of the annual Govardhan Pooja celebrations.
The annual event is held by Yadav families of the area to mark the “victory” of good over evil, and bring luck and prosperity to the locals. Inspector of Cantonment Police station, Vidya Ram Diwakar said, “The celebration is part of a ritual and so far no one had objected about it…so it’s going on”
</t>
  </si>
  <si>
    <t>Indian National Lok Dal (INLD) candidate rode an elephant to file his election nomination; EC has sent a notice to the candidate.
Kadian from OIPA (Indian People for Animals) notes that animals are often made to carry loads beyond permissible limits, made to work long hours, and some candidates even paint slogans and election symbols on them using harmful chemicals. ​​Bulls, donkeys, elephants and other animals used in election campaigns are commonly beaten, pushed into crowds, overloaded and otherwise abused. They are often undernourished and denied adequate food and water. Wounds and other injuries are common.</t>
  </si>
  <si>
    <t xml:space="preserve">Assault for entertainment </t>
  </si>
  <si>
    <t>Illegal elephant and camel rides were proposed to be part of a Dussehra fair in BRS Nagar I-block. District forest officer and chief wildlife warden of Punjab were completely unaware of the same. AWBI promptly intervened to have these rides cancelled.</t>
  </si>
  <si>
    <t xml:space="preserve">Langurs being used by monkey catchers in Delhi. In the video, the langur is seen with a wounded eye and another wound on her/his head. </t>
  </si>
  <si>
    <t>Raju, an elephant, spent 50 years being forced to beg through the Streets of UP.  A chain and spiked shackle continuously cut into his leg to keep him from running away. His body bore multiple scars and chronic abscesses that are believed to be evidence of repeated jabs with a bullhook. His only food was scraps thrown to him by passersby. Wildlife SOS rescued the elephant.</t>
  </si>
  <si>
    <t>The police caught three poachers and seized 38 half-dead Spiny-tailed lizards from them; the lizards had their spines broken and were packed tightly in bags. Department officials state that the poachers cook and eat these lizards (considered a delicacy) after extracting oil (by burning their tails). The oil is sold as an ‘aphrodisiac’.
India has just one species of this lizard Uromastyx hardwickii. Locally known as the sanda, it is hunted in large numbers for its meat and oil obtained from the fat (sanda ka tel).</t>
  </si>
  <si>
    <t>Badly injured Pony - beaten by sticks - in a poor health condition was rescued.</t>
  </si>
  <si>
    <t>Elephant Sunder was gifted to a temple in Kohlapur (for religious functions), where he was kept in solitary confinement and routinely abused. He had an injured eye, a hole in his ear and scars all over his body. Celebrities like Paul McCartney, Pamela Anderson campaigned for his release. The SC upheld the Bombay HC's order of releasing Sunder.</t>
  </si>
  <si>
    <t>Kolhapur</t>
  </si>
  <si>
    <t>The snake charmer had crammed two snakes into one basket. The fangs of both snakes had been pulled out, which basically meant that these snakes could never be rehabilitated into wildlife as they would never be able to kill and eat their prey, or even defend themselves against aggressors. The snake-charmer was using the snakes to beg.</t>
  </si>
  <si>
    <t>Nanganallur, Chennai</t>
  </si>
  <si>
    <t>Black Buck</t>
  </si>
  <si>
    <t xml:space="preserve">400 animals (deers and black bucks) held in illegal captivity at Karshni Ashram. Visitors to this place offered unnatural food in unregulated quantities to the animals, which could be further harmful. Central Zoo Authority of India - CZA has not recognized the said zoo. 
</t>
  </si>
  <si>
    <t>Raman Reti, Gokul</t>
  </si>
  <si>
    <t>The Indian spiny tailed lizard (Uromastyx hardwickii) is found patchily distributed in the Thar desert, Kutch and surrounding arid zones in India and Pakistan. Since ancient times, these are hunted by the locals in the belief that the oil extracted from the fat of the lizard's body is an aphrodisiac and is used as an embrocation and as a cure for impotence.
People also abuse these lizards, as alternatives for drugs. A prisoner would burn lizards and take the charred remains and fill them in a bidi—and smoke them as cannabis. He was introduced to this practice of smoking lizard powder by other jail inmates who were drug addicts and due to non-availability of drugs, started abusing lizard powder.</t>
  </si>
  <si>
    <t xml:space="preserve">The annual Sangola fair is a celebration of the Hindu goddess Ambika Devi at her temple in Solapur--where up to 30,000 bullocks are transported by truck or on foot from all over Maharashtra to the market there. Past years have seen lack of necessary shelter, basic veterinary care, and enforcement of animal-protection laws. Loading animals without ramps caused major injuries including broken hips. Animal Rahat's veterinary team treated 156 animals for various medical conditions, stopped any abuse that they witnessed and also confiscated all illegal torture devices. </t>
  </si>
  <si>
    <t xml:space="preserve">Two girls, aged 10 years and 8 years were reported ill-treating two monkeys while using them to beg. The girls themselves were forced into prostitution. </t>
  </si>
  <si>
    <t>Amaravathi</t>
  </si>
  <si>
    <t>Farm abandoned by owner, who was accused of murder. Animals left starving. Villagers took out their frustration about the owner by beating and torturing the animals on the farm, denying them food or water. They refused to allow the animals to be rescued. 30 police officers were needed for protection. Cattle had all been tied in the sun and had been severely beaten up by the villagers. 21 goats had been killed, along with a few cows and most of the chickens.
The remaining animals (3 bulls, 4 cows, 5 calves, 3 ducks, 1 hen and 1 chick) had all been tied without food or water. They were famished, dehydrated, injured and sick. All rescued</t>
  </si>
  <si>
    <t>Satharai</t>
  </si>
  <si>
    <t>Despite ban on the same, langurs are being used to scare away monkeys. Post Graduate Institute of Medical Education and Research (PGIMER) has been using two langurs. They are kept hidden from public gaze as they are tied to trees behind the new eye OPD block. The langurs remain there 24 hours.
Another langur is forcefully kept by Sector 26 showrooms on Madhya Marg. He is tied to a tree bang opposite the main gate of the Sector 26 police station. (police inaction)</t>
  </si>
  <si>
    <t>Donkey race held as part of the Kila Raipur Sports Festival</t>
  </si>
  <si>
    <t xml:space="preserve">The sapera (snake-charmer) community in villages in Aligarh till date practices a ritual of giving poisonous snakes in dowry to daughters in marriage. Prospective grooms have to learn the skill of making snakes dance to their tunes, which is regarded as the primary condition for marriage. For this, sapera children are given traditional knowledge instead of proper schooling.
Refusal to do so ends up in a marriage being cancelled. </t>
  </si>
  <si>
    <t>Kila Raipur Sports Festival: Three bulls were injured, one sustaining a knee fracture, when a number of them ran out of control. Another pair of panicked bulls were injured when they smashed into vehicles in the parking area.</t>
  </si>
  <si>
    <t xml:space="preserve">Ludhiana </t>
  </si>
  <si>
    <t>The pony, called Jully, reportedly died of heart attack while taking part in the H H Sawai Bhawani Singh Cup. The pony was only six-years old, and one of the riders mentioned, “it was quite a young horse”.</t>
  </si>
  <si>
    <t>Great Dane puppy gangraped at breeder's. Rescued in malnourished condition with prolapsed rectum. Case filed u/s 377</t>
  </si>
  <si>
    <t xml:space="preserve">A monkey was used for begging at T. Nagar bus stand. A person had reported the matter to the police, but no action had been taken. </t>
  </si>
  <si>
    <t>Bull born with an extra limb used for begging. He would be draped in thick mirrored blankets, and with a painful nose ring, forced to walk 10 miles a day on the hot tarmac, which has resulted in severe arthritis. Confiscated from owners and treated</t>
  </si>
  <si>
    <t xml:space="preserve">Abused elephant being taken in a truck for a marriage procession. </t>
  </si>
  <si>
    <t>Chomu</t>
  </si>
  <si>
    <t>Horse-cart stopped on the road. The owners had fit cruel thorn bits inside the horse’s mouth. The cart owners said they bought the bits from a fair.</t>
  </si>
  <si>
    <t>Horse being transported for a horse beauty parade crammed into a crowded truck, with half his body hanging out over the side for an hour-long journey. Sustained injuries, bleeding</t>
  </si>
  <si>
    <t>Anthiyur</t>
  </si>
  <si>
    <t>Tarot readers sit near the Meenakshi Sundareswarar Temple. Though most of the tarot readers in Madurai know how to train the parrots to pick fortune cards, they prefer buying trained birds from ‘the Pandits’. “We can buy a trained parrot for Rs 1,000 from the Pandits in Chennai. We cannot invest much time in training the birds ourselves”, said one of the tarot readers. 
Another person, P. Sundar has both a parakeet and a guinea pig to pick fortune cards.</t>
  </si>
  <si>
    <t>Assault  by abandonment</t>
  </si>
  <si>
    <t xml:space="preserve">An abused working donkey had been abandoned, with his legs cruelly tied together with a rope causing severe injury. The ropes had pierced through the skin, almost making the bones visible. </t>
  </si>
  <si>
    <t>PETA investigations show that the bulls had their tails bitten and twisted by human participants and who were beaten continuously in order to force them to run. Irritants were put into bulls’ mouths, and they were yanked by nose ropes, causing their noses to bleed. They were also forced to run and race even after they had collapsed.                                   - Bulls are transported to these runs crammed in goods trucks. They are then tied without water or food in the scorching midday sun – with no shade – for up to six hours as they are made to wait to race.</t>
  </si>
  <si>
    <t>Pusegaon and Phadtarwadi</t>
  </si>
  <si>
    <t xml:space="preserve">A circus Hippo who was killed in floods at Varayal, due to the negligence of Gemini circus that held the wild animal captive only as an entertainment source for circus visitors. </t>
  </si>
  <si>
    <t>Camels used for joyrides are being over worked from early up until evening and even midnight. They are beaten up by their handlers and are constantly carrying people on their backs without a moment of respite, food and water. Their mouths are frothed as a result of exhaustion.</t>
  </si>
  <si>
    <t>ASCI (pg 12)</t>
  </si>
  <si>
    <t>Advertisement by Bennett Coleman &amp; Co. Ltd against Street dogs, as part of their “I Lead India Campaign”. The headline of the ad “These Street dogs are a menace”, read in conjunction with the statements like “You rave about them. You rant about them….. and remember if it makes your blood boil…” is clearly inciting people to take extra-judicial violence agains the animals. The ASCI upholds the complaint against this ad, and notes that ‘it is likely to cause grave and widespread offence.’</t>
  </si>
  <si>
    <t xml:space="preserve">49 race horses had been left to starve to death. By the time Friendicoes intervened, 30 horses had already died—having not been fed for approximately 2 months. 6 more horses died during treatment. The remaining horses were in a critical condition, unable to walk or eat. Case has been filed against the owner of the stud farm. 
</t>
  </si>
  <si>
    <t xml:space="preserve">On 29 September, an illegal greyhound race was stopped by the efforts of two animal welfare groups-- Sarva Jeev Mangal Pratishthan and Beauty Without Cruelty. Greyhounds are given intoxicants and performance-enhancing drugs. They are kept hungry and made to chase down their prey to practice for the race. Kalyan Gangwal, founder-president of Sarva Jeev Mangal Pratishthan claimed that the race, organised by Satyasheel Mohite Patil, had political backing. He is the son of Vijaysingh Mohite Patil, the former Deputy Chief Minister of Maharashtra. 
</t>
  </si>
  <si>
    <t>Post Graduate Institute of Medical Education and Research (PGIMER) has hired two langurs to chase away monkeys from the campus.</t>
  </si>
  <si>
    <t xml:space="preserve">Donkey race held; donkeys forced to run with loaded sacks tied to their backs
</t>
  </si>
  <si>
    <t>Gudipadu</t>
  </si>
  <si>
    <t>Camels are being widely used for carrying burden, advertising for local shops at a premium and offering joyrides to children. A correspondent mentioned festering wounds on the legs of three camels. “The exhibition and use of camels for publicity campaigns or making them travel long distances in humid weather are violations under Sections 11, 22 and 26 of the PCA Act. But, without a shelter house we are unable to make arrests,” said Inspector of Society for Prevention of Cruelty to Animals (SPCA), Jamshedpur, A.K. Dubey.</t>
  </si>
  <si>
    <t>In a series of police raids, 220 rose-ringed parakeets were seized under the supervision of the Wildlife Crime Control Bureau. The parrots were seized in a variety of popular recreation and tourist spots, including temples, parks, and picnic spots. Rose-ringed parakeets are a native species of India and are not supposed to be trapped as pets.
An unnamed source said that some of the parakeets had been chained or had other injuries that suggested that they’d been abused or cared for improperly. It was reported that it will take at least two months for the parrots to recover from their ordeal.</t>
  </si>
  <si>
    <t xml:space="preserve">Maulana Moin Miya said, "[W]e have reports that at times bullocks are not fed regularly and are made to pull heavy loudspeakers...in the procession the animals are made to work long hours and people hardly pay attention to their food and water." For the first time, the ulema have come forward and opposed the use of bullock carts in the procession. </t>
  </si>
  <si>
    <t>A langur was badly abused by RPS-Vikas Group Company, who were keeping the langur tied to a pole to repel monkeys.</t>
  </si>
  <si>
    <t>Palwal district</t>
  </si>
  <si>
    <t>In this brutal ritual, an squealing piglet is left in a ground, where more than 50-60 people let loose to catch the piglet. They aggressively run towards it and seek to grab the piglet. The winner gets to take the piglet home and kill it for pork. In this video, the winner is seen mercilessly swinging the piglet as a trophy by holding one of her/his legs. Further he is holding the piglet upside down and posing with her/him.</t>
  </si>
  <si>
    <t>Two horses died of heart attack in the same polo match held at the Ramabagh Polo ground. One of the horses (Koyal) suddenly collapsed and died within minutes of falling. The other horse (Pithufa) crashed to the ground 41 seconds into the chukker and five minutes later, the horse was declared dead. The rider added that five-year-old Pithufa wasn't ill and the death took him by surprise.</t>
  </si>
  <si>
    <t>A bull died at a jallikattu event, from a head-on collision with a moving passenger bus because of the absence of a contained collection area for the bulls. The terrified bull ended up in the accident on the main road after running frantically away from jallikattu participants who had been chasing and deliberately agitating him. Other panicked bulls also ran from the jallikattu area onto the main road into the midst of oncoming traffic.
The inspectors reported that no veterinarians could be found at the scene of the death and also witnessed cruelties, such as a person biting the tail of a bull, other people poking bulls with knives and twisting their tailbones and organisers poking and beating animals with wooden sticks and forcing fluids, likely liquor, down the bulls’ throats.</t>
  </si>
  <si>
    <t xml:space="preserve">10 horses rescued, that were being forced to race by their handlers on the busy Western Express Highway.  Four persons have been arrested under provisions of PCA Act and Motor Vehicles Act.
</t>
  </si>
  <si>
    <t>Jogeshwari</t>
  </si>
  <si>
    <t>Peacock</t>
  </si>
  <si>
    <t>Assault for Entertainment/Religion</t>
  </si>
  <si>
    <t>Two peahens and one peacock, both adult, are being held captive—as religious attractions— in the Kandaswamy Murugan temple in Thiruporur, Kanchipuram District.</t>
  </si>
  <si>
    <t>Thiruporur</t>
  </si>
  <si>
    <t>Antelope</t>
  </si>
  <si>
    <t>Two antelopes have been kept chained at the Tara Tarini Temple—as religious attractions. Antelopes are listed under Schedule 1 of the Wildlife Protect Act, 1972; and by law it is illegal to keep any such animal in captivity. It is also a violation of s.3(11) of PCA Act.</t>
  </si>
  <si>
    <t>Ganjam district</t>
  </si>
  <si>
    <t xml:space="preserve">Bijlee, a 58-year old ailing elephant collapsed on the road. She had been forced to work for 50 years by begging on the Streets of Mumbai and standing at weddings; with no attention paid to her health or diet. She had even sustained injuries in an accident. Bijlee also suffered from obesity due to bad diet, degenerative joints and osteoporosis </t>
  </si>
  <si>
    <t>Since there was a ban on bullock cart races, the organisers went ahead with dog races. There was also an event where persons rode two horse at a time. Jockeys at these races have been accused of drugging their animals, making them drink alcohol, beating them up, twisting their tails to make them run fast.
The organisers too have been blamed for not having in place a proper medical team to treat the injured animals.</t>
  </si>
  <si>
    <t xml:space="preserve">Ill treatment of camels and horses used as commercial transport near Taj Mahal.                                                                                                                          - Camels and Horses are being subjected to inhumane working conditions, where they are harnessed to heavy carts, to take tourists for joy rides.
- They are being forced to stand in their own excreta as they are tied and have no place to move around.
- Additionally, they are being continuously beaten as they are being forced to navigate heavy vehicular traffic.
- The animals in question have damaged hooves and footpads, and are covered in bruises as well as being malnourished.
- No provision of food, water or shade for the overworked animals is visible.
</t>
  </si>
  <si>
    <t xml:space="preserve">Camel race held at the Pushkar Camel Fair. In the photo, the rider is seen carrying a stick to hit the camel. Further, the camel is seen controlled through the nose peg (which causes great pain to camels, and leads to ripped, bleeding noses) </t>
  </si>
  <si>
    <t xml:space="preserve">The controller is seen constantly whipping the horse, who is visibly agonised. The hose, who has a serious wound over his body (near where he is being whipped) is being forced to raise his feet alternatively, as a form of “dance” before the audience which has gathered. 
In the subsequent shot, another horse is being tortured to “perform”. The controller can be seen constantly tugging the horse’s reins (mostly connected to spiked bits inside his mouth), causing him immense pain and suffering.
There is also a deafening beating of drums, which causes immense psychological trauma to the horse.  </t>
  </si>
  <si>
    <t xml:space="preserve">Camel race held at the three-day Camel Festival hosted at Ladera; the video shows several camels being brutally whipped to run faster. </t>
  </si>
  <si>
    <t>Ladera village</t>
  </si>
  <si>
    <t>Bail Pola holiday is to pay respect to bullocks. They are decorated with colored powder and their horns are painted. But often the powders and paints are toxic and can cause serious harm, including horn cancer. There's also horn-rasping, i.e., shaving down bullocks’ horns with knives in order to make the animals appear younger and thus fetch a better price if sold. Animal Rahat's intervention helped provide non toxic powder, and getting horn-rasping entirely banned in the village of Taradgaon</t>
  </si>
  <si>
    <t xml:space="preserve">A horse was forced to pull a victoria carriage despite a swollen knee and ankle. Doctors said that the horse had an infection that was not treated. Colaba Police have registered a case under s.119 (punishment for cruelty to animals) of Bombay Police Act. </t>
  </si>
  <si>
    <t>Letter</t>
  </si>
  <si>
    <t>After pressure from PETA and FIAPO, MCD drops its proposal to have horse-drawn carriages for tourism purposes in the Streets of Delhi. Horses used to pull carriages are forced to haul passengers in sweltering heat and extreme cold and are frequently denied adequate rest, food and water.
They are often kept in filthy, damp stables infested with biting insects. Most never see a veterinarian in their lifetimes.</t>
  </si>
  <si>
    <t>A horse pulling a Victoria carriage collapsed and got injured. The horse driver yanked hard to pull the horse up, but both times the horse slammed back down with a thud against the pavement. The horse had clearly visible cuts and was bleeding from 3 of his legs, and frothing at the mouth perpetually. One observer, Tammy Khajotia, who is a passionate horse rider herself said, "I could tell how the horse survived in complete fear of the drivers, so much so that just them touching the horse would have him on edge, and burying his head in my arms." Police have registered a complaint under section 11 of PCA Act.</t>
  </si>
  <si>
    <t>Old monkey forced to perform by madaari, in front of Kali Mata mandir. The monkey is chained by the neck. The madaari also admits to deploying 8 langurs elsewhere in Delhi. Complaint filed with Delhi Police.</t>
  </si>
  <si>
    <t>Rohini</t>
  </si>
  <si>
    <t xml:space="preserve">A langur is being used by the National Institute of Financial Management (NIFM) to repel monkeys. The langur is seen tied to a tree. 
</t>
  </si>
  <si>
    <t>Broadcast Content Complaints Council (BCCC) has issued an advisory to television channels not to produce, purchase or broadcast content which depicts animals in a harmful light and shows their torture. 
BCCC observed that not only are animals hurt or killed before, during and after filming, but are also depicted wrongly and in ways that spread myths.  A few channels have a reality show in which animals are killed week after week and animal parts such as sheep eyeballs and worms eaten in order to show bravery. A few serials project animals being stalked, teased, tails being pulled at, food being pulled away etc.,i.e. veritable torture of animals as an act of bravery. 
The BCCC had in 2011 received six complaints from viewers about alleged cruelty to animals on shows of Zee Kannada Yamalokadalli Prayaschitha and Yariguntu Yaragilla and 18 complaints against an episode of the show Khatron Ke Khiladi.</t>
  </si>
  <si>
    <t>Three Victoria carriages got booked for overloading. As per the rules, three adults plus one driver are allowed per carriage, but in each of these cases there were between 6 to 8 people on board. Each of the three drivers were booked under relevant sections of the PCA Act 1960 and the Bombay Police Act 1951. But they were fined and let off.</t>
  </si>
  <si>
    <t xml:space="preserve">Goat fights are held at the outskirts of Madurai city. They are forced to undergo an unnatural and strenuous training regime which includes running, swimming and bumping their heads repeatedly against hard surfaces. In a normal goat fight, 75 smashes are fixed to select the winner goat.  Some people in Madurai own up to 40 fighter goats. Owners paint and sharpen the horns to give them a look of a lion.  Prize money shoots up to Rs. 25,000 for the winners of the tournament. </t>
  </si>
  <si>
    <t>Elephant polo matches feature in many parties and wedding functions held under the royal settings of the Mehrangarh Fort and Umaid Palace. One such event was organised during a wedding last week, For this, the permission is granted by Jodhpur Polo and Equestrian Society, which further makes arrangements for the match as the elephants are to be arranged from Jaipur.</t>
  </si>
  <si>
    <t>Illegal race of around 150-200 bullock carts organised. Five organisers have been booked under s.11 PCA Act and s.188 IPC.</t>
  </si>
  <si>
    <t>Kavthe village, Pune</t>
  </si>
  <si>
    <t>Rooster</t>
  </si>
  <si>
    <t>ASCI has asked Euro Fashion Innerwears to withdraw their advertisement featuring roosters, saying it depicted the birds in a bad light. The print advertisement that depicted nude men holding roosters to cover their privates with a tagline: "What's your size?"
FIAPO said the ad violated the PCA Act, and called it distasteful and vulgar.</t>
  </si>
  <si>
    <t xml:space="preserve">67 animals including tigers, lions, chimpanzees, marmosets, kangaroos, birds and snakes, died at the Kolkata Zoo between August 2011 and March 2012. The zoo had recorded 57 animal deaths in 2009-10 and 52-53 deaths in 2010-11. The former Director of the zoo has admitted that the zoo lacks the appropriate health infrastructure and even the drinking water and the food are not up to the mark. Additionally, International Union for Conservation of Nature (IUCN) report other issues besides unhygienic and unhealthy conditions - such as lack of staff training, small cages, animals in wrong cages.
</t>
  </si>
  <si>
    <t>The Kakkoor Samsakarika Vedi organised a bullock cart race as a part of the annual agricultural fest.</t>
  </si>
  <si>
    <t>Kakkoor</t>
  </si>
  <si>
    <t>An illegal horse cart race was reported on the Eastern Express highway at midnight. There were at least 10-12 carts, each with two horses, surrounded by about 50 bikes and many cars and autos. The bikes and autos were part of the entourage and trying to make way for the carts, clearing traffic. Even the people on the bikes had whips. By the time, the police van reached the spot, the carts had disappeared.</t>
  </si>
  <si>
    <t>Kerala's state agriculture department planning to train monkeys to carry out the task of plucking coconuts. There's a decline in human labour for this job, given its arduous and risky nature. K R Vijayakumar, deputy director of the Kerala agriculture department, acknowledges the prospect of animal cruelty and says, "Due to animal cruelty laws, animal rights groups may protest against the move. So we have not been able to pursue the proposal."</t>
  </si>
  <si>
    <t>Kabutar Market, near Meena Bazar, behind Red Fort in Old Delhi—is a place where exotic birds are openly traded. 
A Sunday Guardian correspondent went to the market looking for an owl. A trader offered a small owl for Rs 8,000, asking for an advance of Rs 2,000 before delivering the bird. "I can also sacrifice it for you on the night of Diwali. We will go to the park nearby. I will slaughter it, put the dead bird in a sack and throw it away afterwards," he said.
Another seller offered a large owl for Rs 30,000.</t>
  </si>
  <si>
    <t>A horse tugging a carriage loaded with nine passengers, instead of the stipulated three, collapsed and died of exhaustion outside the Gateway of India.</t>
  </si>
  <si>
    <t>Horses are being forced to lug buggies deep into the sea at the Murud Janjira fort. Horses naturally are not inclined towards water. They are whipped and forced to enter deep saline water with heavy weight cart and humans loaded on them. Horses that are used for pulling carts are denied adequate food, water, shade, rest and veterinary care. They are beaten so that they will work past the point of exhaustion.
Such abuse is in contravention of the PCA Act, and is also dangerous for the life of the horse and the human passengers.</t>
  </si>
  <si>
    <t>Raigad district</t>
  </si>
  <si>
    <t>Bull fights organised in various pockets of Jaintia hills district. Such animal fights are witnessed regularly at Hynniawmer, Soomer, Sookilo and various places within Khliehriat Sub-division with minimum spectators of not less than 300 on each occasion. Cash prize ranging from Rs.10,000 to Rs 1 lakh paid to the bull owner. There is also a huge gambling business associated with these fights. Residents of Jaintia hills have complained of their children stealing money from home to go bet on animal fights.  According to Jaintia Youth Federation (JYF) President, P. Majaw, illegal bullfights are being organised everyday openly nearby the Highway.
He also informed that even the Jowai Police could not conduct any raids in those areas as no senior officer is taking any responsibility.</t>
  </si>
  <si>
    <t>Jaintia hills, Shillong</t>
  </si>
  <si>
    <t xml:space="preserve">At a jallikattu event, bulls were forcibly given country liquor and 18 persons were injured. </t>
  </si>
  <si>
    <t>Tirupati</t>
  </si>
  <si>
    <t>Annual bullock cart race held for the 'Kaanum Pongal' festival. In addition, over 30 horse carts also participated in the race.</t>
  </si>
  <si>
    <t>Thirukadaiyur</t>
  </si>
  <si>
    <t>19 competitors and 23 bull tamers were injured at a jallikattu event, where 257 bulls were used.</t>
  </si>
  <si>
    <t xml:space="preserve">A cock fight took place with 30-odd spectators. Such fights take place once or twice a month in Vadodara. The rooster which runs away from the ground is of no use. He becomes a chicken and is sold. </t>
  </si>
  <si>
    <t>A horse died when a taxi rammed into it outside the Chhatrapati Shivaji Terminus; the horse was not tied to a carriage at the time — the owner’s friend had borrowed it for a bareback ride around town.</t>
  </si>
  <si>
    <t>Ric O'Barry, director of Earth Island Institute’s Dolphin Project wrote to Maharashtra CM. He said, “dolphins do not cope well in cramped, artificial environments” and that “keeping them in captivity is morally and ethically indefensible.” “Even the largest aquarium in the world cannot begin to compare to the vast, complex ocean habitat where dolphins are meant to be. In tanks, their social and familial relationships are left in tatters and their ability to communicate is severely compromised. Dolphins in aquariums – even those born in captivity – quickly become depressed, stressed and volatile.”
Central Zoo Authority also observed that “from the similar proposal received in the past and those who acquired Dolphins/other live marine animals lead to the death of the animals because of ill-preparedness on the part of management of the organization and inadequate care of the animals that are so difficult to maintain in captivity.”
Many dolphins die in the process of capture; once captured, others die from depression and anxiety.
Removing dolphins from their natural communities can also put at risk the remaining dolphins, once their fragile eco-system is disturbed. Putting them on exhibition for tourists is to exhibit heart-broken animals in despair. (FIAPO’s letter to Maharashtra’s Minister for Tourism)</t>
  </si>
  <si>
    <t>Sindhudurg</t>
  </si>
  <si>
    <t xml:space="preserve">The NDMC deployed langurs in VIP areas to scare away macaques that had invaded government buildings. The ministry of external affairs had made a regular provision in its annual budget for hiring langur-keepers to rid its premises of macaques. </t>
  </si>
  <si>
    <t>A “Black Day” political demonstration was held against the ruling party in New Delhi which included parading a buffalo and subjecting it to ear-splitting flutes.</t>
  </si>
  <si>
    <t xml:space="preserve">Cock fights are a regular feature in the interiors of Kendrapara and draw a large audience from the countryside. These fights also become hotspots of gambling. “Police, in most cases, do not take any action against the organisers,” said Sudhansu Kumar Parida of PFA. </t>
  </si>
  <si>
    <t>Forest Department officials nabbed two suspects from Jharkhand with a nine month old bear cub. The suspects were believed to be of the community who perform on Streets with bears. Unfortunately, while one nine month old bear cub was rescued, the two ran away with another bear cub.</t>
  </si>
  <si>
    <t>Pakhi Tola, near Madhupur town</t>
  </si>
  <si>
    <t>The Keralite festival of Thrissur Pooram was held in Dombivli for the first time. Five elephants were brought from Kerala for the event, and they were chained in violation of the Wildlife Protection Act and PCA Act. The photos show the elephants have a lot of pigmentation, which means they are not well-kept.</t>
  </si>
  <si>
    <t>Dombivli</t>
  </si>
  <si>
    <t>The Maharashtra state government has approved a Rs.509 crore project to build India's first oceanarium/dolphin park. The proposed Sea World will have an aquarium, a dolphin stadium, water sports center, an underwater studio, hotels, and theme-based restaurants where visitors can enjoy a view of the aquatic life over a meal.</t>
  </si>
  <si>
    <t>The demand for owls is not limited to a state or two in the country. In fact, be it Delhi or Mumbai, Kolkata or Bangalore all over the country markets are thriving with owl business. The highest demand is for the horned owls. Catchers often disguise spotted owls to look like them or the rock eagle owl. They are dyed with tea and lamp-black mixed with mustard oil and feathers are stuck with latex to the head, besides red colouring agents being injected into the eyes of the bird. Shikras and sparrow-hawks are often beheaded and their body parts passed off as those of owls. 
Owls sold for black magic: “Such tantriks claim to be able to cure a variety of maladies and ill-fortune, ranging from desire for a male child, prolonged sickness, infertility, the need for vashikaran (being able to control someone). The demands are either from tribal areas or from towns and cities where demand is created by practising tantriks. Owls are sold at a premium,” says Abrar Ahmed, an expert on the bird trade.
Owl parts are in great demand too in many tribal areas where bones, beaks and talons of owls are sold. According to Paul D. Frost, author of Owls Mythology and Folklore, “In India, ‘food’ made from owls was believed to have many medicinal properties, curing seizures in children and rheumatism. Eating owl eyes was believed to enable a person to see in the dark, while owl meat was believed to be an aphrodisiac.”</t>
  </si>
  <si>
    <t>India</t>
  </si>
  <si>
    <t xml:space="preserve">Charges of cruelty to animals have been invoked against four prominent Ganpati mandals for allegedly using bulls to pull chariots, that were laden with heavy tableaux and men. Further, the atmosphere was chaotic and the bulls were used for hours without any break or rest. The animals went berserk, thanks to the noise, and mandal activists had to force them into submission. </t>
  </si>
  <si>
    <t>The elephant was being exploited for joy-rides. After the ride, the elephant wrapped his trunk around the 7 year old boy and flung him to the ground, causing his death.</t>
  </si>
  <si>
    <t>Bardhaman</t>
  </si>
  <si>
    <t>FIAPO's letter urging against the building of a special a dog and greyhound racing track in the state. Greyhounds are trained using live bait such as rabbits and kittens. They are kept hungry so as to motivate them to chase, catch and tear apart small animals. When they are not in training, dogs are forced to spend up to 20 hours a day in small crates barely allowing them to move. 
In addition, Greyhounds, brought in from the United States, Canada and Europe are not able to adjust to the tropical climatic conditions of India.  
The "sport" also encourages vices like gambling.</t>
  </si>
  <si>
    <t xml:space="preserve">Ten monkeys used by Street artists for performing tricks were rescued with the help of the Marina beach police. </t>
  </si>
  <si>
    <t>"Several TV channels have telecast visuals of supporters of the India Against Corruption campaign using donkeys to symbolise corrupt officials during their rallies…The donkeys had placards around their necks, their faces had been blackened and they were being punched, slapped and beaten, to symbolise the anti-corruption crusader putting corruption down,” said Arpan Sharma, CEO of FIAPO.
Such actions only serve to encourage the belief that donkeys are objects of ridicule and derision instead of what they actually are - innocent, hard working animals.
The animals used in the rallies are terrified and confused as they are surrounded by lights, cameras and shouting protestors.</t>
  </si>
  <si>
    <t>Lower court in Pune district has issued a notice against a sugar mill for violating the Prevention of Cruelty to Draught and Pack Animals Act, 1965, by exceeding the permissible weight of 2,800 kilograms per bullock cart. The animals are often forced to pull loads twice the size of what a normal, healthy bullock could pull.</t>
  </si>
  <si>
    <t xml:space="preserve">An injured, overworked, possibly old, tired and dehydrated camel was abandoned by its owner and was unable to even get up. Rescued and treatd. </t>
  </si>
  <si>
    <r>
      <t xml:space="preserve">In </t>
    </r>
    <r>
      <rPr>
        <i/>
        <sz val="12"/>
        <color theme="1"/>
        <rFont val="Arial"/>
        <family val="2"/>
      </rPr>
      <t xml:space="preserve">Khatron Ke Khiladi </t>
    </r>
    <r>
      <rPr>
        <sz val="12"/>
        <color theme="1"/>
        <rFont val="Arial"/>
        <family val="2"/>
      </rPr>
      <t>(Season 4), animals are continuously exploited, by shooting in countries that do not have progressive laws to protect animals. Episodes have been aired where animals like cheetahs have been made to run behind contestants with food as a bait, a lion being teased by having her/his food snatched away from her/his mouth as a task, and crocodiles handled by their tail.
Since we do not allow this type of mistreatment to take place in our country, we should not allow it to take place on our airwaves.</t>
    </r>
  </si>
  <si>
    <t>Rama (pony) was suffering from painful wounds. The tonga had deteriorated into such a state of disrepair that it was off balance, unsteady, and extremely hard for Rama to pull—to the point that his harness was cutting into his flesh. Animal Rahat intervened and provided financial help to get the broken tonga repaired.</t>
  </si>
  <si>
    <t>India TV broadcast a programme on 6 July 2011 between 2:00 and 2:30 pm called Acharya Induprakash Ji Ki 99% Guranteed Forecasts. In this programme, viewers were advised to nail a shoe on a black horse and have it removed on 30th July personally to be worn as a talisman for good luck. There was further advise to wear horse shoes to get rid to stones in any part of the body.
The practice of repeatedly inserting shoes and removing them brings extreme pain to the animal and can also lead to lameness. The same is also punishable under the PCA Act.</t>
  </si>
  <si>
    <t>Lily’s mother, a sloth bear, was killed when she was a cub. Then she was snatched from the wild by a violent gang to join their pitiful troupe of dancing bears. Like all the other animals in this troupe, her nose was pierced with a red-hot needle and a rope fed through the hole. She was forced to ‘dance’ on a burning plate and, if she refused, she was clubbed over the head.
As she grew, her ability to fight back was curtailed: the gang snapped off her claws with pliers and smashed in her teeth with iron chisels. Tied to a post at night, she was fed swill devoid of nutrition.
Lily developed severe cataracts. By the age of five, she was almost totally blind.</t>
  </si>
  <si>
    <t>An elephant was abused for a magic performance in a Jadugar Anand magic show at Town Hall, Bangalore. The elephant was kept in captivity for continuous 3 days without any exercise, adequate food or water, while suffering from stomach ache. Moreover, the elephant was used for begging which is a banned activity under Wildlife Protection Act, 1972.</t>
  </si>
  <si>
    <t>Langur being used to shoo away bonnet macaque monkeys, from premises of Escorts Group, Faridabad.</t>
  </si>
  <si>
    <t xml:space="preserve">Delhi City Council is using langurs to shoo monkeys away during the Commonwealth Games. These langurs are continually chained, while their controllers patrol city corners with them. Delhi officials said there are 10 langurs dedicated to the sports venues and a total of 38 patrolling the city. </t>
  </si>
  <si>
    <r>
      <t xml:space="preserve">Akshay Kumar's film </t>
    </r>
    <r>
      <rPr>
        <i/>
        <sz val="12"/>
        <color theme="1"/>
        <rFont val="Arial"/>
        <family val="2"/>
      </rPr>
      <t xml:space="preserve">Khatta Meetha </t>
    </r>
    <r>
      <rPr>
        <sz val="12"/>
        <color theme="1"/>
        <rFont val="Arial"/>
        <family val="2"/>
      </rPr>
      <t xml:space="preserve">shows a scene of animal cruelty, wherein an elephant is forced to pull a road-roller. A complaint has been filed with CBFC (Central Board of Film Certification) to order the makers to delete the scene. </t>
    </r>
  </si>
  <si>
    <t>AWBI’s letter to the Advertising Standards Council of India</t>
  </si>
  <si>
    <t>When birds are shown in the backdrop, they may be sitting because their wings are actually clipped so that they don’t fly away. The dogs used for ads are often made to work in the heat for many hours at a stretch and beaten when not being able to “perform.” Even wild animals like elephants have to face similar consequences, when they are made to perform “tricks” that are unnatural to them— like kicking a football. 
Elephants have been burned while trying to escape from staged fires. A horse was seriously injured during the shooting of ‘Bhola Bhala’ after being deliberately tripped. The dog Jaani, of Parivaar fame, was killed during the filming of a glass-breaking stunt on a South Indian movie set. Filmmakers stitched the blind tiger Uma Devi’s mouth shut during the shooting of ‘Insaaf Kaun Karega’. In a similar incident, animal activists convinced the Central Board of Film Certification to censor parts of the film ‘Betaaj Badshah’ after learning that a leopard’s mouth had been sewn shut.
A television commercial for Siyaram’s fabrics depicted a cockfight, despite the fact that cockfights are illegal in India. In this year’s June issue of ‘Reader’s Digest’, in a car advertisement, it says “Find a big ostrich egg and place it in front of the new car and drive over it.”</t>
  </si>
  <si>
    <t>AWBI has catalogued the poor depiction of animals in advertisements: Birds are shown in cages; a horn blasted for fun at a rhino; an ostrich egg run over by a car; an omnipresent narrator advising people to speed through a herd of buffalo; fish gasping for breath out of water; breed dogs pitched as superior to indigenous Indian dogs; elephants shown working; chickens depicted as food; baby birds taken from nests; animals made to wear clothes and perform silly tricks; wild animals like crocodiles shown eating candy.
When people watch such ads they want similar looking birds and dogs for their homes. After a while when these puppies are all grown up and aren’t “cute” anymore, they are neglected at home or abandoned on the Streets.</t>
  </si>
  <si>
    <t>Bullock carts transporting sugarcane to Shri Chhatrapati Cooperative Sugar Factory were being overloaded; they were forced to pull up to 4,500 kg when they should pull no more than 1,800 kg. The animals were whipped and forced to work for long periods in extreme temperatures. The police failed to act even though the carts passed right in front of the police station.  Judicial Magistrate First Class (Indapur Taluka), Pune, has ordered the police to probe the allegations.</t>
  </si>
  <si>
    <t>Commissioner's letter</t>
  </si>
  <si>
    <t>Draught animals such as horses, mules, and equines are regularly abused to drive tongas on the Streets of Delhi,
These mute animals are made to work in extremely hot and cold Delhi, in an extremely polluted environment. The quantity of load or number of passengers being taken also violates laid-down rules and regulations related to prevention of cruelty to animals. There have been instances of accidents involving these tongas- causing injuries to commuters, pedestrians, and the animals. 
The owners of these animals are not in a position to provide them a healthy, wholesome and balanced diet. There are no proper shelter facilities for these animals in their non-working hours. Stressful environments, heavy work, poor housing and feeding—results in premature death of these animals.</t>
  </si>
  <si>
    <t>Greyhound races held at an animal fair organised near Jodhpur Romana in Bathinda. Bobby Sidhu had brought three greyhounds from USA to compete in this race. Baljinder Singh from Nathana imported three greyhounds from Canada a few days back. Many affluent Punjabis and Punjabi NRIs are importing greyhound dogs from countries like USA, Canada and Ireland to compete in local tournaments. “In the recent past, more than 100 greyhounds have been imported by different persons in Punjab from different countries,” said Baljinder's son Gurpiar Singh.</t>
  </si>
  <si>
    <t>The Employees State Insurance Corporation, Kanpur, had hired Mangal Singh, a 10-year-old langur from Lucknow, for Rs 10,000 a month to keep monkeys away from the ESIC campus.</t>
  </si>
  <si>
    <r>
      <t>Several political activists from the National Congress Party (NCP), in a suburban area, portrayed a pregnant</t>
    </r>
    <r>
      <rPr>
        <sz val="12"/>
        <color theme="1"/>
        <rFont val="Calibri"/>
        <family val="2"/>
      </rPr>
      <t xml:space="preserve"> donkey as a leader of the Opposition party, hit the animal with slippers and sticks, while dragging her along from one end to the other, with a rope around her neck</t>
    </r>
  </si>
  <si>
    <t>Yak</t>
  </si>
  <si>
    <t xml:space="preserve">Yaks are exploited to provide joy-rides and for tourists to take photos. But these yaks die within the same year they are brought to Kufri—because it is at a much lower altitude than what is naturally suited for yaks, which is around 10,000 feet to 18,000 feet. 
One of the persons offering these rides says, “At least eight yaks have died in the last couple of years in Kufri alone.” 
The authorities are indulging in a blame-game. State's joint director, tourism, Manoj Joshi, concedes: "Animal enthusiasts have been sending complaints relating to cruelty against yaks. But it's the district administration that needs to ascertain who can get a licence.”
</t>
  </si>
  <si>
    <t>Kufri</t>
  </si>
  <si>
    <t>Chokhi Dhani is famous for school picnics and is visited by 500 to 800 children on average per day--with only two camels catering to this crowd. While a camel's back can accommodate four people, the organisers overburden them with at least 8 students. One of the camels died allegedly due to being overburdened, the other is sick.</t>
  </si>
  <si>
    <t>Chokhi Dhani</t>
  </si>
  <si>
    <t>Advertising Standards Council of India</t>
  </si>
  <si>
    <t xml:space="preserve">Axis Bank—“Quick and Easy Personal Loans” advertisement, appearing on their national bill mail service envelope, shows a parakeet picking up a fortune card with the tagline, ‘Your wishes are now fulfilled within 48 hours!’
Parakeets and Squirrels are protected under Wildlife (Protection) Act, 1972. The caging, displaying, and performance of these birds is banned. 
Complaint against the billboard advertisement of “Symbiosis—International English Course” put up in Kerala around 6 Aug, 2008. The advertisement shows a squirrel being chopped into pieces with the pieces shown as pieces of fruit. The tagline states “want to be fruitful?”
</t>
  </si>
  <si>
    <t xml:space="preserve">Pet dog rescued after being abandoned inside house without food or water for one week. Critical condition, with HSI now. FIR registered against owners </t>
  </si>
  <si>
    <t>2. Companion Animals</t>
  </si>
  <si>
    <t>Pet dog abandoned</t>
  </si>
  <si>
    <t>Pet abandonment, neglect and confinement</t>
  </si>
  <si>
    <t>PFA - Bihar</t>
  </si>
  <si>
    <t>An injured rotwheller found abandoned. Rescued and being treated.</t>
  </si>
  <si>
    <t>A St Bernard was abandoned. Rescued.</t>
  </si>
  <si>
    <t>A saint bernanrd abandoned. Rescued.</t>
  </si>
  <si>
    <t xml:space="preserve">2 Saint Bernard pet dogs abandoned and given to nomads for further sale by the owner of the dogs as they were not well, dogs being kept tied in the sun the whole day and not given proper food and water by the nomads, their condition is worse than before
</t>
  </si>
  <si>
    <t>A 2 to 3 years old trained dog abandoned by its owners as it was suffering from a skin disease.</t>
  </si>
  <si>
    <t>A pet labrador kept confined in a corner; tied to a chain.</t>
  </si>
  <si>
    <t>Illegal Pet Breeding &amp; Trade</t>
  </si>
  <si>
    <t>A female breed dog was found abondoned on Streets in a delapidated condition. The animal was forced to produce puppies, kept in small cage without proper food and water. Passed away a day after rescue.</t>
  </si>
  <si>
    <t>Female dog abandoned and relocated.</t>
  </si>
  <si>
    <t>Female labrador pet dog found abandoned, had tumour and wound in her breasts, rescued.</t>
  </si>
  <si>
    <t>Female dog, along with her 3 puppies, found abandoned on the road.</t>
  </si>
  <si>
    <t>A pet dog abandoned by its family as it caught the distemper virus.</t>
  </si>
  <si>
    <t>Female dog named Brownie abandoned by her owner, because she had a cancerous tumour. Rescued.</t>
  </si>
  <si>
    <t>Two-year-old American bully boy, Benji, was abandoned outside the Sanjay Gandhi animal shelter, rescued.</t>
  </si>
  <si>
    <t>A hotel owner left his dog chained outside his hotel, without food and water, for three days.</t>
  </si>
  <si>
    <t>3 month old puppy found abandoned, rescued.</t>
  </si>
  <si>
    <t>Female Dalmatian dog found abandoned, along with her 3 puppies. Rescued.</t>
  </si>
  <si>
    <t>Mylo, a 10 month old Indie boy, was given up by his family when they realized that he was an Indie.</t>
  </si>
  <si>
    <t>Golden retriever tied to gates of shelter and left in the heat, has a deep maggot infested wound as well</t>
  </si>
  <si>
    <t>Dog treated very badly by his owners. He is chained all day and relieves himself in the same place he sits. They don’t feed him and just keep him there. His hind legs don’t work properly because he has had no movement.</t>
  </si>
  <si>
    <t>2-3 months old puppy abandoned in the middle of the night, rescued.</t>
  </si>
  <si>
    <t>Daphne was one of 6 dogs that were rescued from an illegal boarding and back yard breeding ring.</t>
  </si>
  <si>
    <t>3 month old pup named Nawab given up by his family owing to his deteriorating skin condition. He had severe mange and was visibly in pain. Rescued.</t>
  </si>
  <si>
    <t>Great Dane 6-7 month puppy dumped at another medical facility by a person claiming it is not his dog. Severe orthopaedic and skin issues, looks emaciated. Passed away 10 days later</t>
  </si>
  <si>
    <t>4 puppies dropped in a cardbpad box in a secluded lane. Rescued</t>
  </si>
  <si>
    <t>Labarador pet dog named Jaggu found abandoned, could hardly get up and walk. Rescued.</t>
  </si>
  <si>
    <t>1 year old German Shepherd dog abandoned by his owners, rescued.</t>
  </si>
  <si>
    <t>29 days old female indie dog named Puggy found abandoned on a cold winter day, rescued.</t>
  </si>
  <si>
    <t>Two dogs kept tied 24/7- one in front of the house and one at the back. Heard barking constantly. Neighbours tried talking to owners to no avail</t>
  </si>
  <si>
    <t>Bardez</t>
  </si>
  <si>
    <t>5-6 year old Bullykutta named Haseena rescued from her horrible home, along with her daughter, who unfortunately couldn’t make it through.</t>
  </si>
  <si>
    <t>Two dogs, a small puppy and an adult dog, were left on their own in a bunglow for a period of 4 to 5 days, without food and water. The puupy was locked inside the house while the bigger was tied to a pillar with a chai at the entrance.</t>
  </si>
  <si>
    <t>A dog, named Goldy, abandoned on the Streets by his owners. Put up for adoptions.</t>
  </si>
  <si>
    <t>Mix breed female pet dog abandoned by the owners on the road, because she killed the other female Pomeranian pet dog</t>
  </si>
  <si>
    <t>3 month old golden retriever named Jack Sparrow found abandoned in a park in pouring rain, rescued</t>
  </si>
  <si>
    <t>15-20 days old pup abandoned /relocated, crying continuously.</t>
  </si>
  <si>
    <t>1.5 years old Great Dane kept tied to a pole all the time, whether it is summer or winter, since she was 2 months old.She was kept for the purpose of guard dog for a warehouse. The workers who are supposed to take care of her in the absence of the owner hardly provide her with food and water. Smelling very bad. Rescued.</t>
  </si>
  <si>
    <t>One year old German Shepherd pet dog named Bambi abandoned by his owners, because he was paralyzed. Rescued.</t>
  </si>
  <si>
    <t>Four-year-old Spitz dog named Romeo, found on the Street, abandoned. There were signs of injuries on his hind legs, as if he had been beaten with a stick.</t>
  </si>
  <si>
    <t>1-1.5 year old male Rottweiler pet dog abandoned by his owners due to his maggot wound on his ear and after that he got into accident which injured his rear leg. Rescued</t>
  </si>
  <si>
    <t>Female Rottweiler dog Luna found abandoned at the Sanjay Gandhi animal shelter. Unable to stand or even sit up. The X-rays show an injury to her spine, which will heal and recover with regular treatment.</t>
  </si>
  <si>
    <t>Dog named Tuffy given up by his owners, due to them financially not being able to take care of her.</t>
  </si>
  <si>
    <t>Dog abandoned by his owner just because both the hind legs of the dogs were paralyzed</t>
  </si>
  <si>
    <t>Mehandipur Balaji</t>
  </si>
  <si>
    <t>A dog was left locked inside a house, without food and water, for over 10 days by its owners. Rescued and put up for adoption.</t>
  </si>
  <si>
    <t>3 year old Himalayan Mastiff dog named Bhaloo found abandoned at a shelter.</t>
  </si>
  <si>
    <t>Female puppy abandoned by her owners because they are living on rent and the landlord has refused them from keeping a dog. Rescued.</t>
  </si>
  <si>
    <t>Bunch of puppies abandoned on the road, most of them died, only 2 of them survived.</t>
  </si>
  <si>
    <t>8 month old labardor dog found abandoned, rescued.</t>
  </si>
  <si>
    <t>Man arrested for selling 25-28 day old husky and Shih tzu puppies without license (under the table), it is illegal to sell puppies under the age of 60 days or sell puppies of such exotic breeds without license or to separate them from their mothers</t>
  </si>
  <si>
    <t>4-5 years old, female Rottweiler named Rosie found abandoned at a shelter, rescued.</t>
  </si>
  <si>
    <t>Dog found abandoned, rescued.</t>
  </si>
  <si>
    <t>Cat named Palki abandoned by a family, they left her at a boarding and never came to pick her up. Family had moved to Australia</t>
  </si>
  <si>
    <t>Assault by illegal Breeding</t>
  </si>
  <si>
    <t>A pregnant dog kept tied 24/7 by its owners, even during harsh weather. The dog has been imprgnated multiple times as it is a "breed dog". The owner uses the dog to commercialise on the puppies.</t>
  </si>
  <si>
    <t>1.5 month old India male dog named JPEG found abandoned on the Delhi-Gurgaon Highway, rescued</t>
  </si>
  <si>
    <t>Shih Tzu dog abandoned by his owner, one ear totally infected and damaged</t>
  </si>
  <si>
    <t>Old shihtzu was abandoned by his owner, his one ear was totally infected and damaged. Dog died later.</t>
  </si>
  <si>
    <t>Illegal Breeding</t>
  </si>
  <si>
    <t>One year old female Pitbull dog kept tied 24*7 on the rooftop, whether it is chilling winter or scorching summers. Empty bowls kept near her without any food or water. Dog keeps crying day and night alone on the terrace. Dog also used for illegal breeding of pups. Owner alleged to have other female dogs before, who died due to over-breeding.</t>
  </si>
  <si>
    <t>one year old female labrador dog named Sparky ill treated by owners and caretaker, was kept in a cage which was too small for her</t>
  </si>
  <si>
    <t>A disabled dog, with forelimbs either broken or amputated, abadoned by the owners. The owner pushed the animal out of the car in the middle of an empty road.</t>
  </si>
  <si>
    <t>Few months old Doberman abandoned on Streets. Found with a limping limb.</t>
  </si>
  <si>
    <t>Dandiapali</t>
  </si>
  <si>
    <t xml:space="preserve">Puppy abandoned, adopted </t>
  </si>
  <si>
    <t>Above family got a new puppy who is kept tied 24/7, and treated cruelly</t>
  </si>
  <si>
    <t>8 month old pug named Cash abandoned by his owner, was left by the owner at a Dog Boarding Home and not picked back up.</t>
  </si>
  <si>
    <t>Small beagle pet dog kept tied by owners 24*7 in a very small place in the balcony.</t>
  </si>
  <si>
    <t>Pet shop selling cats and kittens locked up in cages without litter box or proper sanitation</t>
  </si>
  <si>
    <t>2 months old sick German Shepherd female puppy named Holi found abandoned/ dumped. She is passing non stop loose stools and has marks on the body suggesting previous treatment. Someone perhaps dumped her as he/she could not afford the treatment. She was found in a park in this cold waiting to pass away. Dog rescued but died.</t>
  </si>
  <si>
    <t>Dog named Bhaloo Bear found abandoned on the Street, during summers when temperature was as high as 47 degrees. Dog was barely breathing and was about to collapse, rescued</t>
  </si>
  <si>
    <t>7.5 months old Indie dog named Waffles found abandoned, alone on the Streets. Rescued</t>
  </si>
  <si>
    <t>Pet dog named Coco abandoned twice by different owners- reason for first time abandonment not mentioned, abandoned the second time due to a deficiency in her back legs, which could easily be fixed by regular treatment.</t>
  </si>
  <si>
    <t>8 months old pure-breed rottweiler dog named Berry thrown out of a car in a dump yard with 6 liters of fluid inside her. She is suffering from severe Ascites and that maybe the reason she was dumped. Rescued</t>
  </si>
  <si>
    <t>15 day old pup kept tied. Rescued from road and brought home. Fed well, walked, lets puppy sleep in his bed at night. AWO explained PCA and basics of pet keeping, instructed to leave puppy open after a month</t>
  </si>
  <si>
    <t>German Shepherd kept tied all day. AWO counseled owners on PCA, instruced not to tie the dog</t>
  </si>
  <si>
    <t>Pet dog kept tied to gate. AWO counselled owners, asked to leave the dog open</t>
  </si>
  <si>
    <t>Injured female Rottweiler pet dog abandoned by her owner at his neighbour's house, owner ran away, dog rescued</t>
  </si>
  <si>
    <t>Female dog named Frooty was rescued when she was pregnant, hurt, scared, running frantically. She was adopted in the home of an Ex PFA Member. She gave birth to a beautiful Pup and was busy raising him when suddenly the family decided they don't want her anymore, abandoned her and got a new pup. Rescued and re-adopted.</t>
  </si>
  <si>
    <t>Pet shop owner booked for cruelty. On an earlier occasion, animal activists witnessed several cats and birds were caged and not fed for 4-5 days, shop in a filthy condition and warned owner. A few months later, the shop was closed but there were smells and cries heard. The owner fell ill and had left the animals alone without food or water for days. Booked u/PCA</t>
  </si>
  <si>
    <t>Labrador kept in very bad condition, chained on the terrace all the time in his own pee and poop.</t>
  </si>
  <si>
    <t>2-3 year old Spitz mix female dog named Fifi abandoned by her adopter due to the problem of handling her during her heat cycle</t>
  </si>
  <si>
    <t>1.5 years old Labrador-retriever mix pet dog named Hash abandoned by his owners.</t>
  </si>
  <si>
    <t>An old labrador with maggot infested injury was left to die on Streets by its owners. The dog had also developed skin infections. Rescued and put up for adoption.</t>
  </si>
  <si>
    <t>2 year old male Indie dog named Pedro found abandoned, rescued</t>
  </si>
  <si>
    <t>2 year old female labrador named Kismat found abandoned by owners outside ACGS, Faridabad</t>
  </si>
  <si>
    <t>Senior sick dog abandoned by owners, displaced somewhere despite activists arranging for a shelter</t>
  </si>
  <si>
    <t>Dog used extensively for breeding over many years, abandoned in a weak, malnourished, dehydrated state, severe skin condition, emaciated. Rescued</t>
  </si>
  <si>
    <t>Dog named Czar tied to a pole and left, was very skinny, hadn't been fed for days, rescued</t>
  </si>
  <si>
    <t>3 month old dog named Bunny abandoned and dumped on the road, because he was unwell and suffering from distemper. Rescued.</t>
  </si>
  <si>
    <t>Three indie pups adopted by a illegal pet breeder, sold after black paint application, as pedigree.</t>
  </si>
  <si>
    <t>One year old dog Julie abandoned by owner in Market, who had shifted abroad</t>
  </si>
  <si>
    <t>Pet dog kept tied all day and night long, with no water, and just one meal a day, no walks</t>
  </si>
  <si>
    <t>Retriever dog rescued from illegal breeder.</t>
  </si>
  <si>
    <t>33 dogs stolen by pet shop owner from private veterinary hospital, and being kept in “unsanitary conditions”, 10 recovered in raid, FIR filed for animal cruelty and illegal dog breeding</t>
  </si>
  <si>
    <t xml:space="preserve">Large dog kept confined in small cage all day </t>
  </si>
  <si>
    <t>Goose, a white Siberian husky, was found abandoned on the Streets, rescued.</t>
  </si>
  <si>
    <t>8-10 months old dog Princess abandoned by owners because they shifted to another city</t>
  </si>
  <si>
    <t>Laaj Jain cases</t>
  </si>
  <si>
    <t>Dog of exotic breed kept in bad condition by owners, used for breeding</t>
  </si>
  <si>
    <t>Great Dane locked inside house with no food or water for weeks, rescued in an emaciated condition with internal infection. Died sometime later despite medical care</t>
  </si>
  <si>
    <t>House was locked since past 14 days or more. 1 year old rotweiller laying in paralysis condition in his own pee and poop since 14 days or more. He was not even fed food and water. Previous owner of the house had abandoned his own pet dog in a locked house. The new owner said that he has purchased the dog with the property, but did not have any purchase paper or vaccination card of the dog or any registration certificate from Kennel Club of India. Rescued.</t>
  </si>
  <si>
    <t>Two mix labs who are paralyzed and abandoned by their heartless and selfish owners
8 year old pug also abandoned by an unkind owner.
Both dogs adopted by new owners.</t>
  </si>
  <si>
    <t>11 month old pitbull named Sheru kept in an old rusty cage, he is sick and weak. He is beaten, rarely fed, and when he cries, he is chained outside in the rain. Rescued but died later</t>
  </si>
  <si>
    <t>Muktsar</t>
  </si>
  <si>
    <t>Pet dog named Senorita always kept tied up by the owner, dog beaten up when she cries</t>
  </si>
  <si>
    <t>Two pet dogs of Alsatian breed kept tied inside the house all day, house is covered with grills and bamboo sticks</t>
  </si>
  <si>
    <t>7 year old pet labrador dog named Roxy kept on the terrace all day long, irrespective of the weather, rescued</t>
  </si>
  <si>
    <t>Pet dog kept tied outside 24*7 by the owner, even during rain.</t>
  </si>
  <si>
    <t>Dog tied on terrace all the time, barking without relief. NGO visited and counselled owner on PCA</t>
  </si>
  <si>
    <t>Persian cat abandoned with skin issue, which was easily treatable. Rescued</t>
  </si>
  <si>
    <t>Female dog found abandoned on the highway, she was brimming with maggots...not eating or drinking water at all. Rescued</t>
  </si>
  <si>
    <t>Boxer rescued from her owners, she had a terrible surgery done on her hind leg that permanently stiffened her joint where she cannot bend her leg. Found to be suffering from malnutrition as well. Rescued and treated</t>
  </si>
  <si>
    <t>Adult parakeet kept in captivity for 8 years</t>
  </si>
  <si>
    <t>Pet shop owner sold 25 day old Golden retriever puppy for Rs. 25,000 after installing a microchip in the body of the puppy, in violation of Pet Shop Rules and without AWBI license</t>
  </si>
  <si>
    <t>Cows herded and locked inside a room at a school by local residents because the cattle were disrupting traffic on the highway, 17 cows die of starvation as no food and water provided, FIR registered</t>
  </si>
  <si>
    <t>Gwaliior</t>
  </si>
  <si>
    <t>Two kittens found abandoned by someone in an Amazon carton. Both kittens are very small, eyes yet not opened. Rescued.</t>
  </si>
  <si>
    <t>Little puppy named Nawab thrown and abandoned in a polybag, suffering from a skin disease, something hot was most probably thrown on the puppy's head</t>
  </si>
  <si>
    <t>Dog abandoned outside shelter</t>
  </si>
  <si>
    <t>Jhonny, a German Shepherd, was repeatedly abandoned by his owners, but he came back every single time. Finally, his owners shifted to another city, leaving him completely on his own. He's surviving outside as a Street dog from 7-8 years, still waiting for his owners to come! He's suffering from a lot of pain, he has serious diseases, thousands of ticks on his body. He's getting weaker and needs proper treatment, otherwise he's gonna die soon.</t>
  </si>
  <si>
    <t>Kharar</t>
  </si>
  <si>
    <t>Animals being bred and sold in pathetic conditions, illegal trade carried out in a shop</t>
  </si>
  <si>
    <t>A man beats up his pet dogs everyday. He keeps them tied with a chain and deprives them of proper food and water.</t>
  </si>
  <si>
    <t>3 three months old male puppies abandoned by their owner.</t>
  </si>
  <si>
    <t>1.5 year old German shepherd dog kept tied in balcony the whole day, barely getting half an hour walk in between and very little contact with owners, as they have no time for him</t>
  </si>
  <si>
    <t>6 puppies relocated/abandoned/dropped off by 4 men in a car.</t>
  </si>
  <si>
    <t>Pet dog badly neglected, abused, found infested with 200+ ticks, fleas and some maggots. Rescued and treated</t>
  </si>
  <si>
    <t>Two dogs locked in balcony since the last 12 days, the older dog was tied up in a caged portion of the balcony, whereaouts of the owners unknown, the maid fed the dogs regularly but did not take them out for a walk at all, dogs forced to sit in their own poop and urine</t>
  </si>
  <si>
    <t>Adult parakeet kept as a pet, had loss of plumage on the body</t>
  </si>
  <si>
    <t>Injured pet dog neglected by owners, beaten often. Don't want the dog, angry when he was brought back after someone took him to the vet</t>
  </si>
  <si>
    <t>Two pet dogs, with no food and water, kept confined in a balcony of an apartmet 24/7.</t>
  </si>
  <si>
    <t>Female dog kept tied and confined by owner of apartments in sunlight, dog originally belonged to an Assamese student who went back to Assam but left the dog behind, now the dog is missing and cannot be found</t>
  </si>
  <si>
    <t>Pet dog found abandoned with maggot wounds, rescued.</t>
  </si>
  <si>
    <t>4 and a half year old French mastiff pet dog abandoned by owner, because she was suffering from skin disease (mange), Rescued and treated</t>
  </si>
  <si>
    <t xml:space="preserve">Dog named Lucky found abandoned on the Streets in a very bad condition with mange, rescued.
</t>
  </si>
  <si>
    <t>Black dog, mix of dane and lab, found abandoned near IIT Gandhinagar. Body full of ticks, ear notched and not sterilized.</t>
  </si>
  <si>
    <t>Pregnant dog abandoned in house while family moved out. Escaped and found roaming on the Streets, had a litter of stillbirths. Still suffers mental trauma</t>
  </si>
  <si>
    <t>Ex-show dog found abandoned with maggot wounds, fracture and other health issues. Rescued and treated</t>
  </si>
  <si>
    <t xml:space="preserve">Chennai </t>
  </si>
  <si>
    <t>A 6 to 7 months old dog tied with a heavy chain 24/7. The dog could move very little and had a number of fatal injuries when found.</t>
  </si>
  <si>
    <t>Rotterweiler puppy fell down and was not given medical care, resulting in septic wounds requiring amputation of leg. Owner abandoned the puppy in the hospital, and returned only after several calls and scoldings. Counselled and regular home checks to be done</t>
  </si>
  <si>
    <t>In a video making rounds on social media a woman can be seen hitting her pet dog with slippers for rejecting to eat food.</t>
  </si>
  <si>
    <t>2 year old female labrador dog found abandoned with a wound on her leg, rescued.</t>
  </si>
  <si>
    <t>Rotterweiler kept tied up, with wound on neck. AWO visited, confiscated the dog and sent for medical treatment and then adoption centre</t>
  </si>
  <si>
    <t>Dog abandoned in a poor condition</t>
  </si>
  <si>
    <t>2 year old Pitbull Dog named Ellie abandoned and separated from her pups by her owners due to skin disease, or constant twitching on face or due to over-friendliness with everybody</t>
  </si>
  <si>
    <t>Pure breed labrador pup named Sher Singh sold by breeder to family, when he was only 22 days old. Family who purchased was not able to take care of the pup. The pup was rescued but was suffering from parvo. He was not active and was passing lose stool and blood in stool, was in severe pain and had to be on drips twice a day, ultimately dying at last. As per law, pups less than 8 weeks can not be sold and separation of a mother and a pup before 60 days is illegal.</t>
  </si>
  <si>
    <t>Gangurani and Bhombol, 6.5 months old desi and labrador mixed puppies, abandoned on a cold night, adopted by a family but had to be abandoned and put up for adoption, due to lack of space at home. Adopted again by another family, but abandoned within a week for the reason that they run around too much.</t>
  </si>
  <si>
    <t>Two sick German Shephard dogs chained, kept confined in a small space 24/7, by their owner.</t>
  </si>
  <si>
    <t>Person having 20 dogs threatens to abandon all of them, by saying that dogs are 'haram' in their religion.</t>
  </si>
  <si>
    <t xml:space="preserve">Two 7-8 month old Labrador and Golden Retriever pet dogs kept by their owners in bad condition, kept tied to balcony the whole day and also do poop and pee there only, there is no fan or AC, dogs keep barking throughout day and night.
</t>
  </si>
  <si>
    <t>Pet dog kept tied. AWO visited, instructed to keep the dog inside the house</t>
  </si>
  <si>
    <t>Puppies moved and abandoned near temple</t>
  </si>
  <si>
    <t>Pomeranian abandoned for having "illicit relations" with neighbour's dog. Left with a note attached to her collar</t>
  </si>
  <si>
    <t>GSD starved, bred for years. Rescued, but died a few days later</t>
  </si>
  <si>
    <t>Blue eyed Siberian husk dog found abandoned in extremely bad condition.</t>
  </si>
  <si>
    <t>2 pet dogs neglected and kept confined. Condition remained the same despite AWO visits and advice on keeping dogs free. CUPA sent a letter to the owner giving a last warning, explaining PCA and threated to involve the police and confiscate pets if continued</t>
  </si>
  <si>
    <t>Pet dog tied on a very short leash, malnourished- just skin and bones</t>
  </si>
  <si>
    <t>Nerul</t>
  </si>
  <si>
    <t>Pregnant dog abandoned and left alone on the road by her family as they shifted to new place</t>
  </si>
  <si>
    <t>German shepherd pet dog's mother tied on the  stand by the breeder. The dog was displayed in the pet shop before it was even 45 days old. The dog slipped from the owner's hands while they were travelling in a moving rickshaw. She came under the wheels and lost her tail, after which the owner abandoned her when she was just 3 months old.</t>
  </si>
  <si>
    <t>Pet dog malnourished. Shifted to owner's sister's house and being given medical treatment</t>
  </si>
  <si>
    <t>Various animals (cats, love birds, hens, rabbits) kept in cages underground in filthy conditions. Many cages not cleaned. No response from the business</t>
  </si>
  <si>
    <t>Paralyzed Rottweiler dog found abandoned, had some issues with his spine but could stand and walk on his own, rescued.</t>
  </si>
  <si>
    <t>A pet dog, having maggot infested by maggots, abandoned by its owners. She was left on Streets, without water, in a hot weather.</t>
  </si>
  <si>
    <t>St. Bernard kept on terrace, place not cleaned</t>
  </si>
  <si>
    <t>2 Husky puppies kepy in cage. AWO visited and advised not to keep in cage</t>
  </si>
  <si>
    <t>Labrador kept in a cage. House very small, no space around. AWO asked owners to walk him regularly</t>
  </si>
  <si>
    <t>Dog kept on terrace 24/7. AWO visited, instructed not to keep dog on terrace all day long</t>
  </si>
  <si>
    <t>Cat abandoned by owners who were moving houses. They also did not feed her the right diet, leading to malnutrition. Rescued, treated and completely recovered</t>
  </si>
  <si>
    <t>1 year old labrador abandoned on the road. Rescued</t>
  </si>
  <si>
    <t>Pet dog kept in a cage, malnourished. AWO instructed that he not be kept in the cage, owner promised to make a shed for the dog</t>
  </si>
  <si>
    <t>Husky kept tied to the gate. AWO instructed owner not to keep him tied or caged, agreed</t>
  </si>
  <si>
    <t>5-6 year old female spitz pet dog named Chaya and 2 year old female German Shepherd pet dog named Maya both abandoned by their owners by the side of the road, rescued.</t>
  </si>
  <si>
    <t xml:space="preserve">Dog tied with mouth cap. AWO visited and instructed not to use mouth cap or keep dog chained all day </t>
  </si>
  <si>
    <t>A Lhasa dog was abandoned on Streets by its owner. The dog is a poor condition and struggling without food and water.</t>
  </si>
  <si>
    <t>Dog kept tied all day long, not maintained well. AWO instructed owners not to keep the dog tied all the time, they agreed to shift him to a farm house</t>
  </si>
  <si>
    <t>Dog kept confined in small area. AWO instructed owner to keep dog inside house</t>
  </si>
  <si>
    <t>Senior dog kept in bad condition, malnourished, skin infection, cough, no walks. AWO confiscated him to send to trauma centre</t>
  </si>
  <si>
    <t>A dog was abandoned by its owners as one of his hindlimbs stop functioning. The disability was developed due to lack of nutrition and care as the dog was neglected and ill fed by its owners. Rescued and adopted.</t>
  </si>
  <si>
    <t>St Bernard kept on terrace, no walks, no owner, driver provides food</t>
  </si>
  <si>
    <t>Pet dog kept in a small place, no walks. AWO visited and instructed walks twice a day</t>
  </si>
  <si>
    <t>Female pet dog named Minnie found abandoned at night, rescued.</t>
  </si>
  <si>
    <t>Pet dog tied up all day, not maintained well, malnourished. AWO instruced to leave the dog on the terrace for 2-3 hours a day</t>
  </si>
  <si>
    <t>German shepherd abadoned by owner in Hastinapuram.</t>
  </si>
  <si>
    <t>Street dog confined in driver's car because the owner does not like Streets dog. Driver walks him. AWO instructed not to tie the dog</t>
  </si>
  <si>
    <t>Dog tied 24/7. AWO visited along with police and counselled the owners. Dog left free after that</t>
  </si>
  <si>
    <t>Dog kept tied 24/7. AWO visited and counselled</t>
  </si>
  <si>
    <t>Dog kept chained 24/7. AWO+police visited and told the owner to keep the dog free, explained PCA. Owner agreed</t>
  </si>
  <si>
    <t>Dog confined to balcony, not taken on walks. AWO instruced they must walk the dog</t>
  </si>
  <si>
    <t>Pet dog kept tied, not well maintained</t>
  </si>
  <si>
    <t>Relocation</t>
  </si>
  <si>
    <t>3 puppies put in a basket outside a vet's office with a note asking him to find them a home. Caught on CCTV, investigation ongoing</t>
  </si>
  <si>
    <t>18 months old male labrador Goldie was found abandoned on roads</t>
  </si>
  <si>
    <t>Pet dog locked inside the balcony of a house for past 7 days without food or water, was crying and trying to free itself, rescued.</t>
  </si>
  <si>
    <t>Pet dog, with 105 degrees fever, abandoned by owner at a shelter</t>
  </si>
  <si>
    <t>A female dog made to breed repeatedly to raise money for her breeder owners. The dog has an untreated maggot infested paws and is kept tied, with a rope, on the rioadside without any food and water. The dog had a visible rib cage and was found in a starving condititon.</t>
  </si>
  <si>
    <t>2.5-3 years old male labrador Rocky found abandoned and rescued</t>
  </si>
  <si>
    <t>Labrador abandoned on the road due to a (treatable) skin condition. Rescued, treated</t>
  </si>
  <si>
    <t>A 2 years old black domesticated indie dog found chained to pole in a empty plot with large bushes. The owner went away for a few days leaving the dog behind like this.</t>
  </si>
  <si>
    <t>Assault by Illegal Breeding</t>
  </si>
  <si>
    <t>A labrador kept chained 24/7 by a breeder dies due prolonged abuse.</t>
  </si>
  <si>
    <t>Illegal breeding</t>
  </si>
  <si>
    <t>3 Pomeranians 1 Labrador rescued from illegal breeder. The animals were tied up 24/7.</t>
  </si>
  <si>
    <t>Labra mix Pet dog named Bingo abandoned by owners for unspecified reasons</t>
  </si>
  <si>
    <t>8 to 10 dogs kept rescued from breeder. The animals were found in poor condition as they were not given adequate food and water.</t>
  </si>
  <si>
    <t>Husky kept on rooftop. Owner did not cooperate with AWO</t>
  </si>
  <si>
    <t>Hundreds of rabbits and various types of birds transported from Howrah To LTT Mumbai via Jananeshwari Deluxe Express train. Rescued.</t>
  </si>
  <si>
    <t>Dog kept tied in confined space because of baby at home. AWO instructed owners to leave the dog open and to keep in the car parking place at night</t>
  </si>
  <si>
    <t>Dog in malnourished condition. AWO spoke to owners, dog to be taken to Mysore in a few days</t>
  </si>
  <si>
    <t>Labrador kept tied. Kept on balcony when owner not at home. AWO visited and instructed not to keep the dog tied, keep out of sun and rain</t>
  </si>
  <si>
    <t>Dog kept tied. AWO spoke to owner, explained not to keep dog tied all day, and to provide plenty of drinking water</t>
  </si>
  <si>
    <t>St. Bernard kept tied outside. AWO visited owners, counselled on PCA and instruced that the dog had to be kept in a room with AC or fan</t>
  </si>
  <si>
    <t>Rotterweiler not taken care of properly, kept in an unclean confined space, malnourished, lots of ticks but no vet visits. Confiscated by AWO</t>
  </si>
  <si>
    <t>Rotterweiler kept tied in a confined space, not maintained well, no vaccinations. AWO confiscated the dog</t>
  </si>
  <si>
    <t>Puppy kept tied. Private citiznes rescued the puppy</t>
  </si>
  <si>
    <t xml:space="preserve">Dog kept ties in unclean space, not maintained well, malnourished. AWO visited owners, instructed to construct a shed in the emplty space. </t>
  </si>
  <si>
    <t>Puppy kept tied. AWO instruced that she be kept free in a room with water always available. PCA explained</t>
  </si>
  <si>
    <t>2 40-day old female dogs rescued from breeder (pet shop).</t>
  </si>
  <si>
    <t>2 year old male Pomeranian mix dog found abandoned and rescued</t>
  </si>
  <si>
    <t xml:space="preserve">Dog kept tied, confined. AWO visited and explained PCA. Owners agreed to keep inside the room </t>
  </si>
  <si>
    <t>Dog kept in a cage, not maintained well. Owners said he barks all the time and is unfriendly</t>
  </si>
  <si>
    <t>3 year old Pomeranian was found abandoned and rescued</t>
  </si>
  <si>
    <t>Dog kept tied, confined. Owners shifting to their own house soon and want to give the dog up for adoption. AWO explained PCA</t>
  </si>
  <si>
    <t>Rotterweiler not cared for, no walks, kept tied and confined in an unclean space. AWO confiscated him</t>
  </si>
  <si>
    <t>Two adult dogs kept by their owners in a small, congested crate, not taken out for walks, the owners don't clean their shit on time. Dogs are leading a miserable life.</t>
  </si>
  <si>
    <t>Dog kept tied. Watchman been taking care for 10 years. AWO explained PCA</t>
  </si>
  <si>
    <t>Dog kept tied in the sun. AWO instructed owner not to keep ties all day</t>
  </si>
  <si>
    <t xml:space="preserve">Two huskies kept caged. </t>
  </si>
  <si>
    <t>Abandoned black labrador puppy died on the highway</t>
  </si>
  <si>
    <t>6 cats abandoned by their owner at a boarding. owner refused to take take them back. Cats put up for adoption.</t>
  </si>
  <si>
    <t>Pregnant pet dog abandoned by her owners, gave birth to her puppies on a busy main road.</t>
  </si>
  <si>
    <t>Two pet dogs, Bruno and Scooby, one is deaf and the other is dumb- abandoned by their owners, rescued.</t>
  </si>
  <si>
    <t>Rotterweiler kept caged, not maintained well. AWO instructed keeping the dog in a room, not in a cage</t>
  </si>
  <si>
    <t>Dog kept tied and confined in car. not well maintained, no walks, no medical treatment in one year. Owners have a small home, don't want to keep him. Adoption/fostering to be arranged</t>
  </si>
  <si>
    <t>Dog kept tied. Police help sought. Police spoke to dog owner, explained that if dog not cared for properly, he will be conficated and handed over to NGO</t>
  </si>
  <si>
    <t xml:space="preserve">2 dogs kept caged in school. AWO visited, counselled the principal, </t>
  </si>
  <si>
    <t>Labrador pet dog named Scott abandoned by his owners, was wandering on the roads when he was hit head on by a car, rescued.</t>
  </si>
  <si>
    <t>Dog kept tied up. Owner uncooperative with AWO, police assitance was sought, they denied permission for confiscation</t>
  </si>
  <si>
    <t>Pet dog kept tied up, not well maintained, malnourished and neglected. Owners came to attack the AWO, police had to be called</t>
  </si>
  <si>
    <t>2 year old male golden retriever pet dog named Oreo abandoned by his owners, rescued.</t>
  </si>
  <si>
    <t>Labrador, named Cloudy, abandoned by owners as the animal lost his eyesight.</t>
  </si>
  <si>
    <t>A 2 years old mixed GSD dog abandoned because of "extreme loose motion".</t>
  </si>
  <si>
    <t>Puppy seen tied. AWO visited and counselled owners on PCA, asked to keep puppy free</t>
  </si>
  <si>
    <t>Dog abandoned on roads, hit by a car resulting in paralysis of hind legs. Rescued</t>
  </si>
  <si>
    <t>Dog kept tied all day, not maintained well, malnourished. AWO instructed to leave the dog free</t>
  </si>
  <si>
    <t>Dog not treated for illnesses, shows signs of neglect- anaemic, skin infection, no vaccination in 3 years. AWO instructed owners that regular treatment must be given</t>
  </si>
  <si>
    <t>Dog kept chained in a small balcony</t>
  </si>
  <si>
    <t>2 year old female labrador pet dog abandoned by her owners, left at a boarding and owner never came back to take her.</t>
  </si>
  <si>
    <t>Rotterweiler tied outside shelter and abandoned in a very bad condition- severe maggot wounds around the neck, one external ear is almost lost NGO staff saw one auto leaving the road at great speed, presumably the owners of the dog. Rescued and treated</t>
  </si>
  <si>
    <t>Dog left on terrace 24/7, AWO spoke to owner and requested that the dog be left free, not chained or left in a cage for long hours, agreed</t>
  </si>
  <si>
    <t xml:space="preserve">3 dogs seized from illegal breeder for ill treatment, illegal breeding, confinement in small cages. Case u/s 11 PCA, Dog Breeding and marketing rules 2017. Court ordered payment of Rs. 50k for medical treatment + 15k surety </t>
  </si>
  <si>
    <t>Dog kept tied in a confined, unclean space. AWO visited owners, who said construction is underway for the dog</t>
  </si>
  <si>
    <t>Dog kept tied. AWO spoke to owner on phone</t>
  </si>
  <si>
    <t>Dog kept tied. AWO instructed to not keep him tied</t>
  </si>
  <si>
    <t>Dog kept ties in unclean space, not maintained well. AWO visited owners, dog to be shifted to a larger space</t>
  </si>
  <si>
    <t>Husky being beaten by illegal breeder. Confiscated with help from police</t>
  </si>
  <si>
    <t>Dog not taken for walks, only left to roam on the terrace. AWO counselled on PCA, instructed to walk the dog at least twice a day</t>
  </si>
  <si>
    <t>2 aged dogs neglected, malnourished, unclean space</t>
  </si>
  <si>
    <t>Husky kept tied in unclean confined space, not maintained well, no walks. AWO strictly warned owner, they said the dog may be shifted to native place</t>
  </si>
  <si>
    <t>Rotterweiler neglected, not fed properly, skin infection. Agreed to handower dog to CUPA. Confiscated</t>
  </si>
  <si>
    <t>Dog tied, kept in unclean, confined space. Owners uncooperative with AWO, insist dog is kept open at night and tied during the day becuase there a school nearby</t>
  </si>
  <si>
    <t>Dog kept tied, confined. Owners told AWO they are shifting houses and thinking of giving dog to CUPA</t>
  </si>
  <si>
    <t>Dog kept tied all day</t>
  </si>
  <si>
    <t>A pet dog, with an open wound and severley injected forelimb, has not been treated by the owner despite being repeatedly asked to do so by the local residents of the area. The dog continues to live the painful wound.</t>
  </si>
  <si>
    <t>Bhadrachalam</t>
  </si>
  <si>
    <t>2-3 Year Old labrador pet dog named Max rescued from a High Rise. Max was found in a room swamped with weeks of piss and poop. There was no water or food let alone a warm cloth. He was severely dehydrated with bent legs and falling hair and hazy eyes. Hw was so hungry he used to eat his own shit. He had high fever, severe calcium and vitamin deficiencies. Max had Tick Fever with very low platelets and very high infection. He also had Cataract in both the eyes. Years of abuse had impacted him permanently in his eyes and legs.</t>
  </si>
  <si>
    <t>Dog kept tied tightly, confined, not well maintained. AWO instructed owner to not tie the dog</t>
  </si>
  <si>
    <t>Rottweiller found tied to a tree with a maggot wound on her external genitalia. Possible breeder abuse</t>
  </si>
  <si>
    <t>Rotterweiler dog tied, not taken to vet for eat infection, no proper care taken. Confiscated by AWO and sent to hospital and then adoption center</t>
  </si>
  <si>
    <t>Healthy, friendly Beagle abandoned</t>
  </si>
  <si>
    <t>Dog found abandoned on the Streets, emaciated, all weak at shrivelled unable to stand. Rescued and eventually adopted</t>
  </si>
  <si>
    <t>Bambolim</t>
  </si>
  <si>
    <t>Senior pet dog abandoned outside house once owners got a new dog, stopped feeding him as well. Rescued in an emaciated condition</t>
  </si>
  <si>
    <t>Cream colour labrador puppy abandoned near IIT, got run over on the highway, dead</t>
  </si>
  <si>
    <t>Dog tied in car. Private citizens warned the owner</t>
  </si>
  <si>
    <t>Dog kept tied, no food or water, malnourished. AWO visited, and instructed food and water be provided immediately, and the dog be left open without chain</t>
  </si>
  <si>
    <t>Labrador and pomeranian puppies kept in a small cage without water &amp; food. Found to be suffering from stress and starvation. FIR filed u/s 11(1) PCA</t>
  </si>
  <si>
    <t>Dog kept tied, confined. AWO counselled owner, explained PCA</t>
  </si>
  <si>
    <t>56 dogs abandoned in Thane 2015;
28 in 2013
123 pets (beyond dogs) abandoned in 2013</t>
  </si>
  <si>
    <t>Kali, a dog, was abandoned as a weeks-old puppy at Animal Aid's gate in 2011.</t>
  </si>
  <si>
    <t>Dog kept tied, confined. AWO instructed owners to keep dog inside or leave free in the compund</t>
  </si>
  <si>
    <t>Dog kept tied in a room. Not maintained well. Owner was uncooperative with AWO, unwilling to listen. Third visit made along with police. This time dog was not tied, but still confined. Potential confiscation case</t>
  </si>
  <si>
    <t>Doberman found chained by her owners to a water tank meter, where she was starved to the point of an emaciated skeleton, traumatized and lying in her own feces. Confiscated by police and handed to shelter. Treated for tick fever and malnourishment and finally adopted</t>
  </si>
  <si>
    <t>Anjuna</t>
  </si>
  <si>
    <t>65+ animals kept in residential breeding facility, in cramped, unhygienic conditions, violation of all breeding rules</t>
  </si>
  <si>
    <t>Dog kept tied in an open shed. Owners absent. AWO contacted them, and gave strict warning about follow up checks and potential confiscation if dog is not kept properly</t>
  </si>
  <si>
    <t>Puppy kept tied, unclean. AWO counselled owner about PCA, instructed to leave puppy free</t>
  </si>
  <si>
    <t>Cat kept tied to avoid him from being caught by workers for selfies. Agreed to keep cat inside a room and leave free at night</t>
  </si>
  <si>
    <t>A Cocker Spaniel found abandoned near a garbage dump. She is old and has trouble walking. Rescued</t>
  </si>
  <si>
    <t>1.5 month old puppy being sold in pet shop, was not well and healthy, but as per Rules, animals under the age of 2 months cannot be displayed or sold in pet shop</t>
  </si>
  <si>
    <t>4 newborn puppies thrown into shelter compound</t>
  </si>
  <si>
    <t>2 year old German Shepherd dog named Rambo found abandoned at the Animal Hospital and Shelter, Noida, rescued.</t>
  </si>
  <si>
    <t>Dog kept tied in unclean confined space, not maintained well, no walks. AWO instructed owner to not tie the dog outside, keep within compound. They agreed</t>
  </si>
  <si>
    <t>Rotterweiler abandoned with neck wounds and anaemia. Rescued and treated</t>
  </si>
  <si>
    <t>Dog kept tied and confined, not maintained well. AWO counselled owners about PCA, instructed to leave dog free</t>
  </si>
  <si>
    <t xml:space="preserve">Dog kept chained 24/7. AWO counselled, explained PCA and gave a strict warning  </t>
  </si>
  <si>
    <t xml:space="preserve">Dogs kept tied. To be kept open at night. Dogs to be shifted to farm house soon </t>
  </si>
  <si>
    <t>Dog kept tied, not maintained well. AWO instructed to leave the dog free. Dog to be shifted after house is constructed</t>
  </si>
  <si>
    <t>Dog kept chained on terrace. AWO counselled the owners, condition improved after that</t>
  </si>
  <si>
    <t>Pet labrador abandoned</t>
  </si>
  <si>
    <t>Rotterweiler not maintained well. AWO instruced to not tie him and counselled on what food to be given. Dog to be shifted to Coorg</t>
  </si>
  <si>
    <t>2 month old pug puppy, born with only three legs abandoned by owners, rescued</t>
  </si>
  <si>
    <t>New born calf found abandoned, rescued</t>
  </si>
  <si>
    <t>Female labrador dog found abandoned, rescued</t>
  </si>
  <si>
    <t>Dog kept tied. AWO received several complaints, strictly warned owners to keep dog inside the house. Warned that the dog will be confiscated if any more complaints</t>
  </si>
  <si>
    <t>Adult Rose Ringed Parakeet with all feathers of both wings clipped</t>
  </si>
  <si>
    <t>5 dogs kept chained all day. Also suffering from skin infection</t>
  </si>
  <si>
    <t>Dog kept chained all day. Owners brought dog after a robbery occured, but not interested in the dog. Willing to give up for adoption</t>
  </si>
  <si>
    <t>2 dogs kept tied, 2 caged, malnourished and not maintained well. Show signs of neglect. AWO counselled, instructed to keep dogs open</t>
  </si>
  <si>
    <t>Mixed german shepherd abandoned, left on Streets for 15 days. Adopted after case was posted on social media</t>
  </si>
  <si>
    <t>9 dogs kept in unclean space, malnourished, not maintained properly, no walks. Main owner suffering from health issues, so family is willing to give the dogs up for adoption</t>
  </si>
  <si>
    <t>Puppy kept chained, AWO suggested keeping open all the time, owner agreed</t>
  </si>
  <si>
    <t>Great Dane not being taken care of, AWO rescued and shifted the dog to CUPA shelter</t>
  </si>
  <si>
    <t>Labrador kept tied in confined space. AWO instructed to take the dog for a walk 3 times a day and leave the dog open at night</t>
  </si>
  <si>
    <t>A 1 year old male mixed Doberman abandoned by its owners.The animals was left near pet accesorries shop in Kolkata.</t>
  </si>
  <si>
    <t xml:space="preserve"> Animals being kept terrible conditions in pet shop, unhygenic, negelcted. Owner non-cooperative when asked about welfare of the animals</t>
  </si>
  <si>
    <t>Rotterweiler being neglected, kept tied for some part of the day. AWO visited, instructed owner to make a compund gate and leave the dog open</t>
  </si>
  <si>
    <t>Cat keps in cage, not maintained well. Owner's wife doesn't want the cat inside the house, and there are many dogs outside. Willing to give the cat up for adoption</t>
  </si>
  <si>
    <t>St. Bernard locked in room for 9 days without food or water, owners left the dog in the house and left. Rescued</t>
  </si>
  <si>
    <t>Rose Ringed Parakeet Adult. Was kept as a pet. All primaries of both wings clipped.</t>
  </si>
  <si>
    <t>6-7 month old puppy abandoned. Found with right front and hind legs fractured, treated</t>
  </si>
  <si>
    <t>Adult Alexandrine Parakeet kept as a pet. Plumage on the wings, mantle and rump has a reddish tinge</t>
  </si>
  <si>
    <t>Two 1.5 year old labrador dogs- one male and another female found abandoned, rescued.</t>
  </si>
  <si>
    <t>Labrador abandoned on the road, found with his paw crushed, swollen and infected. Rescued and later adopted</t>
  </si>
  <si>
    <t>2 Rose Ringed Parakeets kept as pets. One had a few primaries and all tail feathers plucked</t>
  </si>
  <si>
    <t>Dog tied on a short chain. AWO left a letter for the owners asking them to take proper care of their dog</t>
  </si>
  <si>
    <t>Dog kept chained 24/7. AWO visited and explained PCA, asked them to leave the dog freely, walk regularly, give good food and fresh water. Owner agreed</t>
  </si>
  <si>
    <t>Dog left in a cage. AWO counselled, situation improved</t>
  </si>
  <si>
    <t xml:space="preserve">Labrador dog constantly tied by the owner with small leash without a bowl of water or food. This has been a constant situation since two months reported by various locals on various forums. Police haven't taken action despite written complaint, they haven't enquired the owner yet. </t>
  </si>
  <si>
    <t>Two men Ranbir Singh and Gurmukh Singh held on charges of animal cruelty under PCA, for carrying 26 puppies in car’s boot, were involved in the business of selling puppies of foreign breeds, including Labradors, Rottweilers, pugs and German Shepherds to customers in Uttar Pradesh. One of the puppies was six months old, while most of them were one to two months old. The puppies were in a healthy condition, but were cramped for space inside the boot of car, with no provision for food and water.</t>
  </si>
  <si>
    <t>2 month old puppy kept tied all day. AWO visited upon complaint and counselled the family, explained thta the puppy must be kepy inside the house and not tied all day</t>
  </si>
  <si>
    <t>13 birds found crammed in 2 tiny, unclean cages at temple. Food and excreta on the same surface, dirty drinking water</t>
  </si>
  <si>
    <t>Dog kept confined all day. AWO instructed family to keep inside the house and not tied</t>
  </si>
  <si>
    <t>Pet lab tied to tree, family said construction work is going on inside the house so the dog was tied for his safety. AWO instructed them to keep the dog free inside the compound</t>
  </si>
  <si>
    <t>Pet dog neglected. AWO explained PCA, created awareness about proper care of dogs</t>
  </si>
  <si>
    <t>GSD tied in a car, no water, no walks. Dog confiscated and taken for medical treatment</t>
  </si>
  <si>
    <t>Dog kept tied, confined in an unclean space. AWO instructed that the dog be kept in a spacious area inside the compound. Owner agreed and said he will shift the dog to his friend's house</t>
  </si>
  <si>
    <t>15 oxen abandoned in truck for over 2 days, die from heat and hunger</t>
  </si>
  <si>
    <t>Kaalu, a dog, found abandoned and rescued</t>
  </si>
  <si>
    <t>Dogs kept in car shed for breeding</t>
  </si>
  <si>
    <t>Dog kept tied 24/7. AWO gave strict warning and threatened to confiscate the dog if this continued</t>
  </si>
  <si>
    <t>A young St Bernard dog found abandoned and wandering in the Street, because of its skin condition. The dog was very weak and thin and covered with large infected skin sores which were red raw and itchy, causing pain and suffering. Rescued, but died after some time.</t>
  </si>
  <si>
    <t>Puppy kept chained 24/7 by security guard caretaker. AWO explaiend PCA, puppy was immediately left loose</t>
  </si>
  <si>
    <t>Dog chained all day, no walks. AWO instructed to leave him free, PCA explained</t>
  </si>
  <si>
    <t>4 male dogs kept in shed for breeding, kept in unhygenic conditions in a very small space. AWO visited undercover to ascertain the situation</t>
  </si>
  <si>
    <t>Dog kept tied. AWO instructed to not keep him tied. PCA explained</t>
  </si>
  <si>
    <t>Dog kept tied all day inside compund of house</t>
  </si>
  <si>
    <t>Dogs kept in unclean space. AWO instructed that the place to cleaned and the dogs walked 3 times a day</t>
  </si>
  <si>
    <t xml:space="preserve">Dog kept chained 24/7 by security guard caretaker. AWO explaiend PCA, asked for dog to be left open by making a small compund in a vacant place, agreed. Letter to also be sent to dog's owner . Dog was later sent to a farm house </t>
  </si>
  <si>
    <t>An old pet dog, suffereing from arthritis and cataract was thrown into a canal by its owners. Rescued and treated.</t>
  </si>
  <si>
    <t>Neapolitan Mastiff abandoned for not producing puppies despite being mated. Brought to shelter</t>
  </si>
  <si>
    <t>2 dogs kept caged, but man loves them and takes good care otherwise. AWO spoke to him and he agreed to build a big kennel for the dogs within a month</t>
  </si>
  <si>
    <t>Person went abroad, left 2 cocker spaniels with her sister who doesn't have time to spend with the dogs, they are being neglected. Wasn't willing to give them up for adoption or allow confiscation either. After AWO convinced her, she agreed to send the dogs to the adoption shelter</t>
  </si>
  <si>
    <t xml:space="preserve">Dog kept on long chain all day whle owner is away. Not maintained well. </t>
  </si>
  <si>
    <t>A terrified male Indian dog found tied with a very small rope to a bench on the footpath of a very busy road.</t>
  </si>
  <si>
    <t>Alexandrine Pkarakeet ept as a Pet</t>
  </si>
  <si>
    <t>Breeder kept dogs badly. Almost all dogs are 7-8 years old, some had bad skin disease and crippled legs. AWOs suggested they seek medical care for the dogs and if necessary euthanise the ones who are very severely infected, and put the others up for adoption. Breeders agreed</t>
  </si>
  <si>
    <t>3 puppies abandoned in a bag</t>
  </si>
  <si>
    <t>Rose-ringed Parakeet kept as a pet</t>
  </si>
  <si>
    <t>Two dogs chained at school. Principal counselled, dogs were released on terrace, to be shifted to Principal's house later and not kept chained</t>
  </si>
  <si>
    <t>Pet mastiff kept tied 24/7. Owner counselled</t>
  </si>
  <si>
    <t>Pet dog tied in rain and sun. Owner counselled, immediately provided water and promised to vaccinate and keep the dog inside the house</t>
  </si>
  <si>
    <t>Pet doberman kept tied 24/7. Owner counselled</t>
  </si>
  <si>
    <t>Pet dog kepy in compund 24/7, suffering from hernia. Owner counselled, agreed to keep dog in a proper shelter</t>
  </si>
  <si>
    <t>Breeder kept dogs badly, kept in cages. Breeder counselled, instructed to walk the dogs properly. If condition doesn't improve, complaint to be booked u/PCA</t>
  </si>
  <si>
    <t>Breeder kept dogs badly. Complaint lodged against the breeder. He wrote an apology letter promising to rectify the situation in a fortnight</t>
  </si>
  <si>
    <t>A female dog made to breed repeatedly to raise money for her breeder owners. The dog was starved, kept in a filthy cage throughout her life and then thrown on the Streets. The breeder disowned the animal, calling it a Street dog and asked the vets to contact him when the dog gets better, evidently to exploite the animal again. The animal could not survive.</t>
  </si>
  <si>
    <t>Pet dog tied outside, owner counselled, PCA explained. Agreed to keep dog free inside the house</t>
  </si>
  <si>
    <t>Pet roterweiler kept tied 24/7. Owner counselled</t>
  </si>
  <si>
    <t>Dog abandoned by a pastor. AWO and police took him to police station, complaint to be booked u/s 11 PCA</t>
  </si>
  <si>
    <t>Small german shepherd puppy tied 24/7. AWO visited and counselled the owners, explained how to properly raise a puppy, including vaccinations. They agreed</t>
  </si>
  <si>
    <t>Puppy kept chained all day without food or water, heard barking for hours together</t>
  </si>
  <si>
    <t xml:space="preserve">Dog used for breeding, brought to hospital with tick infestation requiring a blood transfusion. </t>
  </si>
  <si>
    <t>Breeder keeping dogs caged the whole day without any walks. AWO advised walks for the dogs and maintain hygeine. Caretaker agreed. Kennel was moved away from there a few days later, AWO investigating</t>
  </si>
  <si>
    <t>Pet dog kept by watchment, tied on a short leash. AWO visited on complaint and gave a strict warning, that if it continued the dog would be confiscated and a complaint would be booked</t>
  </si>
  <si>
    <t>Pet dog kept tied to gate 24/7. AWO counselled and explained PCA. Asked to leave the dog open more often, agreed</t>
  </si>
  <si>
    <t>Pet dog neglected by caretaker while owner was out of station. Owner returned and promised good treatment</t>
  </si>
  <si>
    <t>Pet dog chained 24/7. Upon complaint, AWO visited the owner and counselled them. PCA explained and a strict warning was given. Advised to place a barricade where the dog could be free, owners agreed</t>
  </si>
  <si>
    <t xml:space="preserve">Dog left on terrace 24/7 with no shelter. AWO counselled owner. Told him to leave the dog on the ground floor or complaint would be booked u/PCA. Dog immediately brought down. </t>
  </si>
  <si>
    <t>Pet dog tied 24/7. Upon complaint, AWO visited the owner and counselled them. PCA explained and a strict warning was given. Dog was immediately left open</t>
  </si>
  <si>
    <t>Pet dog locked in car and left unattended for almost 3 hours. Police was called and dog was taken to the police station, complaint lodged. Dog's owner wrote an apology promising it will never be repeated</t>
  </si>
  <si>
    <t>2 pet dogs tied 24/7. Upon complaint, AWO visited the owner and counselled them, PCA explained.  Owner denied the charges. Police complaint to be filed</t>
  </si>
  <si>
    <t>Pet Rottweiler kept chained all the time. AWO made multiple visits and counselled and warned them, but there was no improvement, dog remained chained. NGO informed police. Owner finally agreed and promised in writing to make a shed for the dog in the balcony, per NGO's advice</t>
  </si>
  <si>
    <t>3 pet dogs kept caged. AWO visited upon complaint, and asked them to build a small hut for the dogs on the terrace</t>
  </si>
  <si>
    <t>House of illegal backyard breeder raided. One female Siberian husky, her five pups, one pregnant pug, one 2.5 month old Labrador puppy, his pregnant mother and a female German shepherd dog found living in unimaginable conditions on the roof of the house without fan, food, water or hygiene. Complaint filed. Rescued.</t>
  </si>
  <si>
    <t>3 dogs kept chained 24/7. Upon complaint, AWO visited the owner and counselled them. Suggested they put up a gate and leave the dogs open in front of the house</t>
  </si>
  <si>
    <t>Dog tied 24/7. Upon complaint, AWO visited the owner and counselled them, PCA explained. They agreed to leave the dog freely without chaining</t>
  </si>
  <si>
    <t>A 7 months old German Shephard puppy abandoned by its owners. The owners left him tied to a rickshaw.</t>
  </si>
  <si>
    <t>3 kittens found dumped in bushes along a road. Rescued</t>
  </si>
  <si>
    <t xml:space="preserve">Two persons Nazim Ali and Shivi Shukla booked for illegal dog breeding and selling in their home, his YouTube channel had videos of him offering to sell puppies. Several foreign breed dogs and pups found on his premises, case registered.
</t>
  </si>
  <si>
    <t xml:space="preserve">Injured puppy abandoned by illegal breeder outside a sanctuary. </t>
  </si>
  <si>
    <t xml:space="preserve">Pet Rottweiler ill treated. Upon complaint, AWO visited the owner and counselled them. PCA explained </t>
  </si>
  <si>
    <t xml:space="preserve">Pet dog tied 24/7. Upon complaint, AWO visited the owner and counselled them. PCA explained and a strict warning was given </t>
  </si>
  <si>
    <t>Pet beagle tied all day. Upon complaint, AWO counselled the owner and asked them to keep the dog inside the house and only keep outside at night, they agreed</t>
  </si>
  <si>
    <t>Mother dog and her 3 puppies put into a bucket and left into shelter's compund at night</t>
  </si>
  <si>
    <t>Dog ill treated. Upon complaint, AWO visited the owner and counselled them. PCA explained</t>
  </si>
  <si>
    <t xml:space="preserve">Pet beagle ill treated. Upon complaint, AWO visited the owner and counselled them. PCA explained and a strict warning was given </t>
  </si>
  <si>
    <t>Pet husky kept confined for more than a year, not walked or taken out, relieves himself in the same room which is not cleaned often, no human contact, no water bowl. Owner refused to meet AWO. Police contacted for assistance in confiscating the dog so CUPA can rehome him.</t>
  </si>
  <si>
    <t>Owner out of station for 15 days and their kids kept the dog on the terrace. AWO visited, owner apologised and promised to keep dog properly in the future</t>
  </si>
  <si>
    <t>4 labradors kept in garage, used for breeding. AWO visited and asked owners to shift the dogs to a better place. Agreed</t>
  </si>
  <si>
    <t>3 dogs kept in separate cages on footpath. AWO visited upon complaint and described PCA, gave strict warning. Asked owner to find a good home for them</t>
  </si>
  <si>
    <t xml:space="preserve">21 day old puppy, Bagheera, sold on Quickr, contracts distemper and dies a few weeks later </t>
  </si>
  <si>
    <t>Dog tied to gate every morning and kept there all day in direct sunlight, seen panting and trying to break free</t>
  </si>
  <si>
    <t xml:space="preserve">6 year old female labrador found abandoned on the Streets with a maggot wound on her back. Rescued
</t>
  </si>
  <si>
    <t>Dog kept tied 14 hours a day, not fed properly, not walked,  not given water. Seen licking his own urine</t>
  </si>
  <si>
    <t>Puppy kept in a cage too small for him</t>
  </si>
  <si>
    <t xml:space="preserve">Pet Beagle left in the balcony 24/7 even during rain. Complaint registered. Counselled the owner at the police station, took an undertaking and strictly warned him. Pet is now being kept inside the flat.  </t>
  </si>
  <si>
    <t>Pet dog tied on terrace without sheter. AWO counselled the owners and asked dog's vet to also counsel them</t>
  </si>
  <si>
    <t>Exotic Birds</t>
  </si>
  <si>
    <t>2 Emus kept without shelter. AWO counselled and asked owner to put up a shelter for the birds.</t>
  </si>
  <si>
    <t>Puppy tied 24/7. AWO visited and counselled the owner, PCA explained, strict warning given</t>
  </si>
  <si>
    <t>Dog named Sunshine wilfully and deliberately abandoned by the person who fostered her. The same person has once again abandoned another puppy.</t>
  </si>
  <si>
    <t xml:space="preserve">St. Bernard dog named Rani found abandoned by cruel owners and rescued from the Streets. Her hind legs were crooked and she could barely walk. She also used to get seizures.
</t>
  </si>
  <si>
    <t>3 dogs kept locked in dark kennels without water, on large spacious convent campus. Dogs kept barking and howling as a result, several complaints. Hens and emu also found caged. Letter sent to owner with guidelines on how to treat the animals. Recommendations ignored.  Legal notice sent</t>
  </si>
  <si>
    <t>Pets kept in bad condition in pet shop. AWO visited and instruced owner to keep pets out of sun and rain. If not rectified, case to be filed</t>
  </si>
  <si>
    <t>Dog abandoned, found tied on the road with no food or water, infested with ticks</t>
  </si>
  <si>
    <t>Female dog named Sheru victim of illegal breeding, the breeder made her forcefully pregnant, sold all her pups and then left her alone and tied up on the roadside. Found, lower jaw was completely eaten by maggots, no live skin left, couldn't even eat food, rescued.</t>
  </si>
  <si>
    <t>Pet dog tied on balcony 24/7. AWO visited and couselled owner</t>
  </si>
  <si>
    <t>Dog kept tied on the terrace of the pent house by the owner 24*7, dog missing some days after owner was counselled by PFA people</t>
  </si>
  <si>
    <t>Labrador pet dog named Nemo abandoned by his owners, he was hurt, paralyzed and could not walk due to spinal fracture and extensive nerve damage, rescued.</t>
  </si>
  <si>
    <t>Female boxer abandoned with maggots all over right eye and forehead, infected teats and uterus. Rescued and undergoing treatment. "I have followed Boxer Sweet #Serena from the terrible way she was found, a breeder discard with maggots all over right eye and forehead (now operated , cleared up ) her teats hanging low ( one side mammary glands removed) , an infected uterus ( uterus removed) and now a bit of tick fever. I have seen courage , forbearance, love &amp; gratitude in this one eyed dog that a human should worship . And such sweetness that it undoes me."</t>
  </si>
  <si>
    <t>Pet dog left on terrace all day. AWO visited, explained PCA.</t>
  </si>
  <si>
    <t>2 pet dogs of exotic breeds owned by a person, kept in horrible conditions, one dog kept tied with a chain, not released for even passing urine and stool</t>
  </si>
  <si>
    <t>Pet dog named Pepper locked inside home without water, shade or blanket or protection from rain and cold for 4 days, while owner went to celebrate Shiv Ratri in Jammu. The dog wad whimpering, crying and scratching the main door. Only a gardener probably came once in two days to give food and water to the dog. Dog had fever, dehydration, cough and sprain in fore leg, rescued.</t>
  </si>
  <si>
    <t>Pug used for breeding extensively, thrown out on the Streets when she was of no more use. Found blind, with deformities, maggot wounds. Rescued and treated, available for adoption</t>
  </si>
  <si>
    <t xml:space="preserve">Dog tied 24/7 at shop's gate. Upon complaint, AWO visited the owner and counselled them. PCA explained and a strict warning was given </t>
  </si>
  <si>
    <t>Dog found abandoned in the middle of a highway, with an old collar. Suffered from skin infection when rescued</t>
  </si>
  <si>
    <t>Complaint lodged under the WPA for keeping, caging and selling Indian parakeets.</t>
  </si>
  <si>
    <t>Terrier used for breeding for several years. Kept in a small cage that led to spinal deformities. Abandoned in the adjacent plot when there was no more use for her. Left there with no shelter for two months. Breeder even stopped other people from feeding her, threatening to electrocute her as he had done with other dogs in the past. Even took away her water bowl so no one would give her water. When she barked, he would come to beat her. Rescued. Breeder's house filled with dogs and birds for the purpose of breeding and meat</t>
  </si>
  <si>
    <t>Wild Birds (Companion)</t>
  </si>
  <si>
    <t xml:space="preserve">Adult rose-ringed parakeet kept as a pet </t>
  </si>
  <si>
    <t>Adult rose-ringed parakeet kept as a pet for 2 years</t>
  </si>
  <si>
    <t>6 year old pet dog named Joy, suffering from cancer, abandoned by his owners with a lame excuse of kids in the house. Rescued.</t>
  </si>
  <si>
    <t>Nine dogs of foreign breed (including two Huskies, two Pit Bulls, one Sharpe and four Mastiffs) that were kept confined for illegal breeding were rescued from a bungalow. The dogs were tied to gutters and fences and were surviving on poop and garbage during the day, as they weren’t given any kind of food or water at length for days. The dogs were kept in an unhygienic condition, without any medical care. We could literally count the ribs of the rescued dogs. They were petrified of human touch, which indicated that they had been beaten mercilessly. The dogs were fed once in three days. They were kept in the backyard of the bungalow where they were tied throughout the day and night and were forced to live in their own poop. All dogs were found severely anaemic, undernourished, weak and stunted with multiple infections in their bodies. Complaint filed.</t>
  </si>
  <si>
    <t>Dog abandoned on the road, chased by other dogs, found starving. Rescued and adopted</t>
  </si>
  <si>
    <t>Kitten kept caged up all day and night, and is never left out. Lack of food</t>
  </si>
  <si>
    <t>Litter of puppies dumped on Street corner, most taken by garbage collectors the next day</t>
  </si>
  <si>
    <t xml:space="preserve">Pondicherry </t>
  </si>
  <si>
    <t xml:space="preserve">2 dogs kept tied to tree. AWO counselled. Dogs were left free immediately.  </t>
  </si>
  <si>
    <t>A doberman found abandoned by owner due to the dog suffering from severe stomach infection, rescued</t>
  </si>
  <si>
    <t>Labrador used for breeding for years, dumped into a septic tank because she wasn't producing puppies fast enough. Rescued from septic tank covered with excrement and a maggot wound in her eye</t>
  </si>
  <si>
    <t>11 puppies dumped outside Animal Rescuer Pragati Khanna's house, rescued and adopted.</t>
  </si>
  <si>
    <t>GSD caged all day long. At night, the cage is covered in a black plastic</t>
  </si>
  <si>
    <t>Dog kept tied all day, not walked, left to lie in his own excreta. Owner refused to listen to neighbours</t>
  </si>
  <si>
    <t>A pet dog with seriously injured leg found abandoned.</t>
  </si>
  <si>
    <t>3 Adult Rose Ringed Parakeets kept as a pet</t>
  </si>
  <si>
    <t>56 cats rescued from flat where two sisters were hoarding them in filthy conditions</t>
  </si>
  <si>
    <t>5 year old Labrador and Rottweiler mix breed pet dog named Bagheera found abandoned with a maggot wound, rescued.</t>
  </si>
  <si>
    <t>2 dogs kept chained constantly since 2 months, kept in unhygenic surroundings. Always outside even in heat/cold</t>
  </si>
  <si>
    <t xml:space="preserve">Injured calves found abandoned, rescued
</t>
  </si>
  <si>
    <t>Dog left alone at home while owners are out of station for 3-4 days at a time, once it was for 9-10 days. Dog heard continuously barking</t>
  </si>
  <si>
    <t>Cat kept tied outside saw mill all day</t>
  </si>
  <si>
    <t>Dog abandoned on the road, hit by a car. Rescued and treated</t>
  </si>
  <si>
    <t>GSD kept tied on terrace all day on a very short leash, in all kinds of weather</t>
  </si>
  <si>
    <t xml:space="preserve">9 year old pet dog named Babu abandoned by his owners at a boarding and not taken back by them, rescued
</t>
  </si>
  <si>
    <t>Pet dog named Trixie kept starved, locked in the balcony by the owner, just because she didn't look like Labrador as she grew up</t>
  </si>
  <si>
    <t>Chicks</t>
  </si>
  <si>
    <t>Coloured chicks being sold, school girl seen with green coloured chick</t>
  </si>
  <si>
    <t>Labrador found abandoned by the owners on the Streets, dog suffering from ticks, rescued</t>
  </si>
  <si>
    <t>A 5 to 6 years old female labrador, who had been bred several time, abandoned by breeder owner. The animal had a plastered leg. Rescued.</t>
  </si>
  <si>
    <t>2 year old St. Bernard pet dog abandoned by his owners a shelter in the middle of the night.</t>
  </si>
  <si>
    <t>Parakeet taken from the wild as a chick, kept in unsatisfactory conditions in a small cage, leading to feather loss and other husbandry related problems, rescued</t>
  </si>
  <si>
    <t>Myna right eye completely cloudy. Informer had it for a week. Was feeding milk and rice. Feathers soiled. Chirping but quite weak.</t>
  </si>
  <si>
    <t>2 Rottweilers named Jack and Rose kept in cages by Street side traders, with a Beagle, in heat and dust. Even when sent to the medical boarding, they were mostly tied up in a lonely house.</t>
  </si>
  <si>
    <t>Rose Ringed Parakeet Subadult. Was kept with the informer for a few days.</t>
  </si>
  <si>
    <t>Rottweiler pet dog named Tyson seriously neglected by his owner for 4 years, rescued.</t>
  </si>
  <si>
    <t>Two dogs named Romeo and Juliet, 4 and 5 years old, spent several months living on their owner's terrace, their only shelter from the elements being the space under the water tank. Never taken downstairs, never taken for walks, ignored completely by their humans, these two had only the terrace for their playground and each other for company. Rescued.</t>
  </si>
  <si>
    <t>Pet dog suffering from parvo and distemper abandoned by the owners on the treatment table at the vet clinic, died later</t>
  </si>
  <si>
    <t>GSD abandoned, unable to move or eat. Rescued</t>
  </si>
  <si>
    <t>Virudhunagar</t>
  </si>
  <si>
    <t>13 yr old dog abandoned outside shelter. Found to be completely blind, partially deaf and didn’t have teeth</t>
  </si>
  <si>
    <t>2 Rose Ringed Parakeet Fledglings hand raised by the informer</t>
  </si>
  <si>
    <t>Pug used for breeding kept in a pathetic condition. Blind, full of fleas. Owners not allowing her to be rescued either</t>
  </si>
  <si>
    <t>2 Rose Ringed Parakeets (Mutation) Adults with bluish sheen of the entire body. Kept as pets</t>
  </si>
  <si>
    <t>7 year old female labrador dog named Sheru abandoned by her owners, after being tied at the main gate of Sonadi Charitable Trust and owner ran away. She was tied up at the gate whole night. Rescued and adopted.</t>
  </si>
  <si>
    <t>St. Bernard kept tied in the sun all day long, no food or water</t>
  </si>
  <si>
    <t>A dog was kept in an empty house as a 'guard dog' without any proper arragements for food and water.</t>
  </si>
  <si>
    <t>Rose Ringed Parakeet Adult kept by the informer as pet</t>
  </si>
  <si>
    <t>4 pet dogs abandoned by their owners on the Streets, being abused and injured by the local Street dogs, rescued.</t>
  </si>
  <si>
    <t>Pregnant lab-indie mix abandoned on the road when her owners moved out of their apartment</t>
  </si>
  <si>
    <t>2 pet dogs- one male and one female, abandoned by their owner on the Street and not being able to adjust, rescued</t>
  </si>
  <si>
    <t>Munia</t>
  </si>
  <si>
    <t>Tri Coloured Munia kept in a pet shop, housed along with other finches</t>
  </si>
  <si>
    <t>Adult Alexandrine Parakeet kept as a pet</t>
  </si>
  <si>
    <t>Three 3-month old St. Bernard puppies found abandoned on the road, rescued.</t>
  </si>
  <si>
    <t>13-year old male Saint Bernard abandoned by owners, as they were moving out of station forever and not able to take him along due to family limitations.</t>
  </si>
  <si>
    <t>Rocky, a dog, disabled by the nutritional and vitamin deficiency called Rickets, due to a negligent owner who kept Rocky locked indoors.</t>
  </si>
  <si>
    <t>Pet dog named Jarvis kept tied ouside by owners 24 hours in a bad condition. He is bound to live and sit and sleep over his poop and pee. Moreover there is wound in his leg which is bandaged badly. The owners also admitted that they are not able to look after the dog properly.</t>
  </si>
  <si>
    <t>Adult Alexandrine parakeet kept as pet</t>
  </si>
  <si>
    <t>Juvenile Bonnet Macaque was being hand raised by a lady, pet</t>
  </si>
  <si>
    <t>2 Puppies kept chained 24/7 next to open sewage. Chain was extremely short, as they grew, they couldn't even stand straight. Malnourished, with maggot wounds. Surrendered by the family. One dog still has deformed front legs</t>
  </si>
  <si>
    <t>A labrador abandoned by owners. The dog was left tied to a chain in a animal hospital campus, Barasat.</t>
  </si>
  <si>
    <t>Dog kept tied for 2 days with no food or water, heard crying</t>
  </si>
  <si>
    <t>Emaciated dog abandoned after years of breeding, found starving, in a very weak condition. Rescued, but died soon after</t>
  </si>
  <si>
    <t>A spitz suffering from a sort of infection abandoned by its owners.</t>
  </si>
  <si>
    <t>Pet dog abandoned by owner, temporarily sheltered at a road side eatery, later rescued</t>
  </si>
  <si>
    <t>Black lab tied to a tree in summer heat, without food or water, with a deep, maggot-infested wound</t>
  </si>
  <si>
    <t>Alexandrine Parakeet kept as a pet</t>
  </si>
  <si>
    <t>Alexandrine Parakeet Adult kept as pet. No rectrices + Primaries and secondaries of both wings</t>
  </si>
  <si>
    <t>St. Bernard dog found abandoned in very bad condition, roaming on the Street in heat, dragging a chain and a rope, badly dehydrated. Rescued.</t>
  </si>
  <si>
    <t>2 Rose ringed Parakeets kept as pets</t>
  </si>
  <si>
    <t>Rose ringed Parakeet kept as a pet</t>
  </si>
  <si>
    <t>Breeders abadoned a dog as it got sick as a result of being tied to lampost in rain. Was abandoned once again by his owners, after being adopted, due to poor health.</t>
  </si>
  <si>
    <t>Rose ringed Parakeet Brownish discolouration of the body coverts (Red oxide?/Paint?). No rectrices and primaries.</t>
  </si>
  <si>
    <t>Old Alexandrine Parakeet Adult kept as a pet</t>
  </si>
  <si>
    <t>Rose ringed Parakeet kept as a pet. Feathers damaged and a few feathers missing</t>
  </si>
  <si>
    <t>A dog suffering from Veneral Granuloma abandoned by its owner. Rescued and treated.</t>
  </si>
  <si>
    <t>Thin dog, with mange, surrendered by family who no longer wanted her. She had been injured in the past which required amputation of a toe. Remains traumatised</t>
  </si>
  <si>
    <t>Maid left in charge of senior dog, ties her and 'forgets' to feed her for 2 weeks. Rescued</t>
  </si>
  <si>
    <t>Abandoned pedigree dog, unable to survive on the Streets, was found lying in a deteriorated condition, with no fur</t>
  </si>
  <si>
    <t>A pet dog found abaoned near a flyover in Dum Dum, with a chained collar and a tied mouth. The dog had a broken back, blooded mouth and private parts, and half paw. The dog had allegedly met with a train accident, and instead of being treated was dumped by its owners.</t>
  </si>
  <si>
    <t>Dog thrown out of an auto, rescued.</t>
  </si>
  <si>
    <t>Dog named Kaali abandoned and deserted by owners, rescued</t>
  </si>
  <si>
    <t xml:space="preserve"> Blind, deaf, sick and starving labrador abandoned after years of being made to breed. Rescued</t>
  </si>
  <si>
    <t>Dog rescued after found howling with pain &amp; sadness, sleeping on his own excrement &amp; urine. His owners had not walked him for months &amp; he spent most of his 8 year life chained to a balcony</t>
  </si>
  <si>
    <t>Rose Ringed Parakeet kept as pet for 6 years</t>
  </si>
  <si>
    <t>Pet dog fed only twice a week, never taken to vet, kept tied 24/7. Complaint filed and dog taken to vet, had major health issues requiring surgery. Recovered</t>
  </si>
  <si>
    <t>Adult Alexandrine Parakeet kept as a pet, found with injured leg</t>
  </si>
  <si>
    <t>10+ cases of sick/injured pedigree dogs abandoned in a span of 2 weeks</t>
  </si>
  <si>
    <t>Government-run breeding unit where dogs are deprived of adequate water and fed only once a day. Dogs are distressed from being continuously confined, not exercised, suffer from skin conditions, mange, malnourishment, depression. Inadequate staff at the kennel. 3 puppies died from bronchitis in one year. Lack of proper recordkeeping. Puppies sold at low prices are then resold to others. AWBI has recommenede it be shut down, but it continues to operate</t>
  </si>
  <si>
    <t>Animals being sold in the open under hot sun. Caged, without proper shelter, food or water</t>
  </si>
  <si>
    <t>Adult Alexandrine Parakeet kept as pet</t>
  </si>
  <si>
    <t>2 adult Alexandrine Parakeets
kept as pets</t>
  </si>
  <si>
    <t>Rose Ringed Parakeet Adult. Engaged in feather picking (whole body)- result of being kept in confinement. Kept as a pet</t>
  </si>
  <si>
    <t>3 adult Rose Ringed Parakeets kept in captivity for 16 years</t>
  </si>
  <si>
    <t>Pet dog left outside for a week without food or water. Pet seized. FIR filed u/s 11(1) PCA</t>
  </si>
  <si>
    <t>Man uploads videos on TikTok of a cat kept chained, looking terrified and trembling near the owner/person taking video. Complaint filed against unknown person</t>
  </si>
  <si>
    <t>Blind dog abandoned. Kept injuring himself since he can't see, found with maggot wounds. Rescued and treated</t>
  </si>
  <si>
    <t>Blind dog abandoned on the Streets at night. Rescued before almost falling to his death</t>
  </si>
  <si>
    <t>Labrador abandoned after years of being made to breed. Had several health issues and trauma. Rescued</t>
  </si>
  <si>
    <t>Male golden Lab Babu - 2.5 years old - and his beloved friend, female Spitz Alice - a year old were abandoned by their family on a small balcony, they survived for 20 days on scraps thrown to them by neighbours, sleeping, sitting in their own mess, exposed to the elements. Rescued in a terrible state.</t>
  </si>
  <si>
    <t>Senior blind dog abandoned by owners at a shelter</t>
  </si>
  <si>
    <t>Canacona</t>
  </si>
  <si>
    <t>4 year old pomeranian tied to gate and abandoned</t>
  </si>
  <si>
    <t>3 female puppies abandoned soon after birth, owners have the mother. 2 of them have been rescued, one still missing</t>
  </si>
  <si>
    <t>Ribander</t>
  </si>
  <si>
    <t>Abandonment, Neglect and Confinement</t>
  </si>
  <si>
    <t xml:space="preserve">Rampant animal cruelty at Crawford Market. Animals are housed in terrible conditions, crammed in small cramped cages and not provided adequate food and water; many are sick and do not receive medical attention. Exotic species also sold illegally. Several pet sellers are operating under illegal licenses. Since 1993, 8000+ birds have been seized from bird traders at Crawford market, and many have had their licenses cancelled. </t>
  </si>
  <si>
    <t>Four week old dog named Muffin found abandoned outside Pet Clinic</t>
  </si>
  <si>
    <t>6 Puppies abandoned outside shelter in the middle of the night</t>
  </si>
  <si>
    <t>Dog tied to gate of house that owners sold and left. After being scolded about it, owner came back, took the dog and left him on a highway. Found with fatal distemper virus. FIR filed u/s11 (h, i, j) PCA, s 289, 268 IPC. Arrest to be made</t>
  </si>
  <si>
    <t>Great Dane stud dog used for breeding, abandoned at old age in an emaciated condition with kidney and lung issues. Rescued. Did not survive</t>
  </si>
  <si>
    <t>Mass Culling</t>
  </si>
  <si>
    <t>Over 40 Street puppies dead and buried within 24 hours</t>
  </si>
  <si>
    <t>1. Mass Culling &amp; Relocation</t>
  </si>
  <si>
    <t>S Durai Murugan, DMK leader, demaded the mass culling of Street dogs in T.N state assembly.</t>
  </si>
  <si>
    <t>Huge number of chickens/hens buried alive following steep fall in price due to COVID-19 outbreak.</t>
  </si>
  <si>
    <t>21 of cat killed by feeding them on fish laced with poison by the residents of a residential locality in Poonjar. Rescuer buried over 21 of his pet cats and numerous community cats in the period of 7 years. Reporters account: "Since 1 yr the killers started throwing dead and decaying bodies of cats into my compund..in the past 7 yrs I have buried 21 of my cats. And numerous community cats. hundreds of cats are being killed by this lady and her accomplice. 2019- 2020 alone 11 bodies of cats were thrown into my compound...the 11th cat was hung on my gate...I have filed a police complaint in the local police station ..the enquiry is on going ...mean while we are facing political interference in saving the killers."</t>
  </si>
  <si>
    <t xml:space="preserve">Illegal relocation of dogs, the catchers have nets to catch dogs, and they informed residents that they are picking dogs for sterilization, but dogs are being picked up randomly and are being thrown to a forest area. </t>
  </si>
  <si>
    <t>Mass Culling/Relocation</t>
  </si>
  <si>
    <t>Civic body accused of catching over 10 Street dogs by deploying untrained workers, who caught Street dogs using pincers and ropes to catch and tie the animals and allegedly even killed one of them and carried them in garbage vehicles. Use of iron pincers to catch animals has been banned by SC and is violative of the PCA.</t>
  </si>
  <si>
    <t>Dogs were thrown out of the society at late night with the helps of security guards.</t>
  </si>
  <si>
    <t xml:space="preserve">Dogs and nilgais to be captured and relocated (it seems temporarily) to keep them away from the VVIP route for atleast 5 days, till Trump's visit gets over.
</t>
  </si>
  <si>
    <t>A sick puppy was forcibly relocated from its original location in Gokul Society, despite several requests from the residents. The sick puppy which was, allegedly, in a critical condition is now missing. No action taken.</t>
  </si>
  <si>
    <t>Animal rights activists have lodged an FIR at Arnala police station on Thursday with regards to two horrific incidents of animal cruelty inside the Mhada housing complex in Virar (west), where eight dogs were poisoned by unknown persons; while 22 puppies were thrown out in a remote bush by a few animal haters.</t>
  </si>
  <si>
    <t>Mass relocation of Street dogs by local civic body.</t>
  </si>
  <si>
    <t>Several dogs dumped in a deep pit, after tying their feet and mouth, to prevent them from entering the CM's Republic Day function. The dogs were in very bad condition and were removed from the pit only after several hours, and were handled in a very brutal way.</t>
  </si>
  <si>
    <t>Dog named Gabbar was separated from his mother by some kids who then relocated and left him at the gate of a volunteer at the age of one month.</t>
  </si>
  <si>
    <t>16 puppies were beaten to death inside NRS Medical College and Hospital campus.</t>
  </si>
  <si>
    <t xml:space="preserve"> Street Animals</t>
  </si>
  <si>
    <t>550+ dogs culled by Nanded municipality. AWBI asked district authorities to stop the illegal killing &amp; submit a report of the action taken against the perpetrators</t>
  </si>
  <si>
    <t>Nanded</t>
  </si>
  <si>
    <t>4 dogs fatally poisoned, one critical. Case booked u/s 429 IPC</t>
  </si>
  <si>
    <t>A dog was separated from her new born puppies as the residents of Swahid Path were concerned about the hygiene of their locality. Puppies were put in garbage bags, where they died. They then decided to kill the mother as well. However, local NGOs intervened and rescued the mother.</t>
  </si>
  <si>
    <t>https://timesofindia.indiatimes.com/city/vijayawada/40-stray-dogs-poisoned-to-death-in-vijayawada/articleshow/71202198.cms</t>
  </si>
  <si>
    <t xml:space="preserve">40 street dogs poisoned to death by fatal injections. </t>
  </si>
  <si>
    <t>Vijaywada</t>
  </si>
  <si>
    <t xml:space="preserve">90+ dog carcasses found in forest with mouth muzzled and limbs tied. After being directed by officials to relocate the dogs, the accused caught them, tied up their limbs and mouths, and piled them up in a vehicle, to transport them 60kms away. Some dogs were beaten with sticks. Many died due to suffocation en route to the dumping spot. 5 arrested u/ PCA, s 429 IPC. Confessed they were directed to move the dogs by the Municipal Council. Council committee member claims that due to several dog bites, dogs were to be transported to the forest area, not meant to be killed </t>
  </si>
  <si>
    <t>Buldhana</t>
  </si>
  <si>
    <t>4 month old puppy Rinku abandoned, with 4 more pups, rescued.</t>
  </si>
  <si>
    <t>Forest dept hires sharp shooter to cull herds of Nilgai after extensive crop damage. 495 culled in August, 500+ in July</t>
  </si>
  <si>
    <t>70 Streets dogs poisoned, buried in a mass grave.</t>
  </si>
  <si>
    <t>4 two months old puppies separated from their mother and dumped in a remote location. Workers given Rs. 200 to relocate litter. Rescued and reunited.</t>
  </si>
  <si>
    <t>Puppy relocated/ abandoned by being packed in a polythene and thrown outside someone's door.</t>
  </si>
  <si>
    <t>Vehicle seen dumping 18 dogs with their legs and mouth tied. CUPA recued 9 dogs of which 8 survived. Complained registered u/ ss 11(1)(a)-(o) PCA</t>
  </si>
  <si>
    <t xml:space="preserve">Bangalore </t>
  </si>
  <si>
    <t>50 dogs killed on orders of sarpanch, bodies dumped. District collector ordered investigation. FIR filed against unknown persons u/s 428, 429 IPC, PCA</t>
  </si>
  <si>
    <t>Nalgonda district</t>
  </si>
  <si>
    <t>6-7 puppies put in a gunny bag and beaten to death on college campus. Campus admin plan to kill other dogs in the campus as well</t>
  </si>
  <si>
    <t xml:space="preserve">40 dogs, torched, killed and dumped.
</t>
  </si>
  <si>
    <t xml:space="preserve">78 dogs poisoned on orders of civic body. FIR registered u/s 11 PCA and 429 IPC. 4 officias suspended </t>
  </si>
  <si>
    <t>Siddipet</t>
  </si>
  <si>
    <t>Multiple dogs found dead inside a commercial complex. Bodies were quickly cleared up at night before postmortem could be conducted. Municipality and animal welfare trusts deny involvement.  Police investigation ongoing</t>
  </si>
  <si>
    <t>Manipal</t>
  </si>
  <si>
    <t>A group of locals are searching for the Street dogs they fed everyday, until the dogs went missing. Claiming that one of the dogs she had been feeding for the past several months was pregnant, a resident alleged that her neighbours connived with security guards to capture and kill Street dogs. They further alleged that they were targeted and harassed by residents of the society, because they fed Street dogs of the area.</t>
  </si>
  <si>
    <t>Some unidentified persons were seen catching langurs. The mammals were apparently taken away from their territory.</t>
  </si>
  <si>
    <t>Balasore</t>
  </si>
  <si>
    <t>30 dogs killed on orders of civic body (which have been denied). FIR registered u/s 11 PCA and 429 IPC, further inquiry to be conducted</t>
  </si>
  <si>
    <t>Vikarabad</t>
  </si>
  <si>
    <t>22 dogs killed by municipal corporation, using sticks with poison needles. Case registered u/s 429 IPC, PCA, notice issued to civic authorities. Bodies sent for postmortem</t>
  </si>
  <si>
    <t>Sterilised and vaccinated dogs caught and forcibly relocated as they bark and is not liked by the residents. Activists who tried to intervene molested and threated to be burnt alive.</t>
  </si>
  <si>
    <t xml:space="preserve">6 dogs and 9 pigs poisoned by two people, some carcasses dumped in water. Complaint filed </t>
  </si>
  <si>
    <t>Ghatkesar</t>
  </si>
  <si>
    <t>More than 50 Street dogs shot dead by angry villagers with airgun, video surfaced, no official complaint lodged</t>
  </si>
  <si>
    <t>A red chemical filled in bottles and kept outside the home, several dogs fell sick due to this and are on the verge of dying, similar bottles being used all over Gujarat to kill dogs.</t>
  </si>
  <si>
    <t>1 dog killed, others dislocated. 7 dogs still missing. 2 booked u/s 429 IPC</t>
  </si>
  <si>
    <t xml:space="preserve">3 puppies relocated by apartment residents. Other brought the puppies back to the same location with police help. AWO strictly warned the residents and also will ensure ABC programme will be carried out in the location </t>
  </si>
  <si>
    <t>56 dogs captured as part of the civic body's drive to keep roads clear of Street canine, however, the civic body has been accused of not checking and impounded sterilized dogs, capturing animals in inhuman ways and dumping the dogs at waste dump sites.</t>
  </si>
  <si>
    <t>The municipality staff caught a lactating mother in a cruel fashion and caught the helpless female and little pups. All of them died. Earlier also, they used to catch Street dogs and leave them in the jungle to die, even lactating mothers.</t>
  </si>
  <si>
    <t>2 residents of a society booked under Section 429 of the IPC for killing a Street dog and dislocating other Streets in the society area on 24 February.</t>
  </si>
  <si>
    <t xml:space="preserve">14 cats and 7 dogs found dead from suspected poisoning. </t>
  </si>
  <si>
    <t>Several dogs posioned and thrown into river, 6 bodies recovered. Local authorities suspected. Case lodged</t>
  </si>
  <si>
    <t>3 puppies, 1 dog die after consuming rat poison. Society members had earlier asked for Streets to be relocated. Case booked u/s 429, investigation ongoing</t>
  </si>
  <si>
    <t>5 Dogs in an apartment society (sterilized, vaccinated against rabies) being tried to be relocated by the residents, the dogs are also beaten up by the guard with a stick</t>
  </si>
  <si>
    <t>60 dogs missing. Most were sterilised. Residents approached police along with BBMP officials</t>
  </si>
  <si>
    <t>5 newborn puppies thrown in a vacant plot. Rescued and taken to shelter where a dog who lost her puppy is fostering them</t>
  </si>
  <si>
    <t>People caught transporting new born pups and Street dogs. Tied ropes around their necks and attempted to transport them somewhere. Intercepted by NGO activist, tried to threaten her and then asked to move to the police station. Police refused to register case or interrogate suspects</t>
  </si>
  <si>
    <t>14 monkeys poisoned to death. Blood samples sent for testing. Case regsitered with forest officer</t>
  </si>
  <si>
    <t>https://www.thehindu.com/news/national/karnataka/activist-alleges-mass-dog-culling/article22361934.ece</t>
  </si>
  <si>
    <t>350 street dogs killed by the Municipality</t>
  </si>
  <si>
    <t>Dogs forcefully caught moved to shelter by local residents. Brought back by animal lovers. Residents keep trying to influence municipal authorities to permanently move the dogs. Police refused to register complaint</t>
  </si>
  <si>
    <t xml:space="preserve">Nine newborn puppies abandoned, hadn't even opened thier eyes yet </t>
  </si>
  <si>
    <t>Dogs, living in the vicinity of a residential colony fed poison mixed in biryani. The act led to the death of about 15 dogs. FIR registered under section 429 of IPC,1860.</t>
  </si>
  <si>
    <t>100 dogs poisoned by dog killers hired by the Sanskruthi Township committee, bodies disposed. Investigation ongoing</t>
  </si>
  <si>
    <t>25+ dogs fed poisoned meat. FIR registered u/s 173 CrPC</t>
  </si>
  <si>
    <t>Street dogs (elderly, sterilised, vaccinated) relocated from golf association. Association had previously issued a notice discouraging feeding and petting the dogs. Dog chaser also employed to chase the dogs onto the road. Now dogs are missing. Warning letter issued to the association to return the dogs to their territory.</t>
  </si>
  <si>
    <t>3 puppies, 35 to 40 days old, separated from their mother, tied in a gunny bag and dumped in a jungle as they tried to take shelter inside a residential compound.</t>
  </si>
  <si>
    <t>9 pups thrown on side of the road</t>
  </si>
  <si>
    <t xml:space="preserve">Nagar Nigam brutally catching dogs using old equipment and dragging dogs by their vehicle. </t>
  </si>
  <si>
    <t>Mandsaur</t>
  </si>
  <si>
    <t>150 community dogs injected with poison and killed. FIR u/s 11(1) PCA, s 429 IPC</t>
  </si>
  <si>
    <t>https://www.hindustantimes.com/lucknow/animal-lovers-protest-dog-killings-in-sitapur/story-mD9MuIL10b9ByJp4W9NYwI.html</t>
  </si>
  <si>
    <t>"Alleged killing of dogs in Lohia Park, Sitapur by angry villagers following the deaths of kids in the area. Around 20 animal lovers who assembled there said that dogs were hanged, beaten to death and hacked by group of goons. They were being killed while sleeping or even while playing with children."</t>
  </si>
  <si>
    <t>16 monkeys were found dead under mysterious circumstances. The water sources were allegedly poisoned ` by the farmers to kill the monekys in order to reduce crop damage.</t>
  </si>
  <si>
    <t>Nearly 10 community dogs injected with poison and killed. FIR u/s 11(1) PCA, s 429 IPC</t>
  </si>
  <si>
    <t>Krishna district</t>
  </si>
  <si>
    <t>100 monkeys found dead over a few days, passed blood-stained stool and vomited before they died. Post mortem inconclusive, viscera sent for analysis</t>
  </si>
  <si>
    <t>Amroha</t>
  </si>
  <si>
    <t>Several Street dogs killed, bodies dumped near garbage bins. 5 bodies recovered. Local residents suspected. FIR lodged u/PCA, IPC</t>
  </si>
  <si>
    <t>Complaint filed against MCG for catching monkeys after illegally inducing drugs through bananas, administering pain through cruel handling, breaking up family groups, reportedly selling the juvenile and infant monkeys to madaris and/or killing them or causing them to disappear in undisclosed locations.</t>
  </si>
  <si>
    <t xml:space="preserve">Dogs lifted from Jammu for sterilization by SPCA but dogs never reached back to their location, they were either killed or dislocated. Earlier, 2 month old pups and their mother were also removed but never bought back. A small pup left behind was bitten by other dogs and then attacked by a women constable, died of broken spine. </t>
  </si>
  <si>
    <t>Jammu</t>
  </si>
  <si>
    <t>Man caught picking up Street puppies and has no justification for coming all the way from Chirag Delhi to Vasant Kunj for dislocating lactating female and her puppies.</t>
  </si>
  <si>
    <t>Government ordered to kill Nilgais and wild pigs, to prevent the harm caused to crops by them.</t>
  </si>
  <si>
    <t>Gorakhpur</t>
  </si>
  <si>
    <r>
      <t xml:space="preserve">Many Street dogs went missing in Banjara Hills and Jubilee Hills and their surroundings right before Ivanka Trumps visit to India. </t>
    </r>
    <r>
      <rPr>
        <i/>
        <sz val="12"/>
        <color theme="1"/>
        <rFont val="Arial"/>
        <family val="2"/>
      </rPr>
      <t>The Streets were picked up as a part of a clean-up drive for the Global Entrepreneurship Summit. Animal activists allege that street dogs across Hyderabad are being poisoned or picked up by the municipality in a clean-up drive launched by the Telangana government in preparation for the Global Entrepreneurship Summit the city is hosting this month. Dogs have been found dead or seriously ill with symptoms of poisoning, they alleged</t>
    </r>
  </si>
  <si>
    <t>Video surfaces of a dog being strangled by ropes and dragged out by two men in VIT campus</t>
  </si>
  <si>
    <t>11 dogs captured by men hired by university and municipality, wherabouts unknown. Complaint filed for illegal capture and suspected killing of dogs, after university students sought help</t>
  </si>
  <si>
    <t>Several dogs poisoned, some burned, skeletons found. Indications of an organised murder. FIR filed u/ss 429 IPC, s 11 PCA</t>
  </si>
  <si>
    <r>
      <t xml:space="preserve">40 dogs dragged, bleeding with wires in their mouth, killed and relocated in Akola. </t>
    </r>
    <r>
      <rPr>
        <i/>
        <sz val="12"/>
        <color theme="1"/>
        <rFont val="Arial"/>
        <family val="2"/>
      </rPr>
      <t>“The dogs are lured with something to eat. Then, a bamboo stick that has a wire attached to one end is hooked on to their jaws and they are dragged on road. The legs of the dogs are tied and they are thrown into the vans,” the post stated.</t>
    </r>
  </si>
  <si>
    <t>Akola</t>
  </si>
  <si>
    <t>Street cats beaten, mishandled, captured in cardboard boxes by paid labourers in order to be relocated from Shradha Cooperative Housing Society, in Versova. FIR lodged under section 11 of PCA Act.</t>
  </si>
  <si>
    <t>MCG launched a drive to capture Street pigs in the city. Over 10 days, 500 Street pigs were caught and released outside the city precincts. Animal rights activists alleged that the pigs are caught and transported in a cruel manner, claiming that their staff capture pigs in a brutal manner and sell them to slaughterhouses. Contractors assigned to catch pigs run them down, separate piglets from their mothers, destroy herds, stand on them and inflict grievous injuries on them before capture. The cruelty violates the PCA, Slaughterhouse Rules, Transportation of Animals Act, and IPC, in addition to guidelines laid down by the FSSAI.</t>
  </si>
  <si>
    <t>14 dogs, 1 pig poisoned to death. FIR registered u/s 429 IPC, s11 PCA</t>
  </si>
  <si>
    <t>30 monkeys poisoned to death by unknown persons. Bodies found in gunny bags near a temple. Police, forest dept didn't regsiter case or follow up. Locals perform last rites for monkeys, demand investigation</t>
  </si>
  <si>
    <t>Pandavapura</t>
  </si>
  <si>
    <t>9 Cats put in a sack and abandoned at a shelter with a note saying they are a nuisance for multiplying quickly</t>
  </si>
  <si>
    <t>Monkeys being drugged with sedatives in bananas to catch them, by the organisation which was hired to tackle monkey menace under the MCG’s project to relocate the simians to Aravalis. Bananas inserted with intoxicated drugs are given to monkeys to make them unconscious. Then, they are transported to unknown areas. Animals are carried in a vehicle in cruel manner without food and water during the process of relocation. The entire process of capturing and relocating was illegal. The organisation is also not registered under AWBI, although registration of such organisations is mandatory.</t>
  </si>
  <si>
    <t>News- Malayalam Manorama</t>
  </si>
  <si>
    <t xml:space="preserve">Residents caught and killed 12 Street dogs in retaliation for the death of an 85 year old woman due to Street dog attack. </t>
  </si>
  <si>
    <t>Attingal</t>
  </si>
  <si>
    <t>Laaj Jain (Jaipur based Animal Activist)</t>
  </si>
  <si>
    <t>2 dogs found dead and 30 dogs missing in MNIT college campus, administration responsible for getting the dogs killed and relocated illegally</t>
  </si>
  <si>
    <t>ABC rules being flouted by corporation. Dogs released just a day after surgery in a different locality. Suffer from post surgical complications in unknown territory. AWBI sent a letter to GVMC to immediately stop the animal birth control programme and hand it over to a reputed animal welfare organsation, said their practices are devoid of any respect to the lives of Street dogs and a violation of dog rules of 2001 and several SC orders</t>
  </si>
  <si>
    <r>
      <t xml:space="preserve">4 dogs burned and 16 poisoned. </t>
    </r>
    <r>
      <rPr>
        <i/>
        <sz val="12"/>
        <color theme="1"/>
        <rFont val="Arial"/>
        <family val="2"/>
      </rPr>
      <t>"While we were talking to people about the decomposed and charred dog bodies, some workers in the area pointed to an office nearby, saying that people from there had tied the limbs of four dogs, dragged them for 50 metres, poured petrol and set them on fire.“ Rai said the bodies of the dogs were charred and only remnants like blackened bones and skulls could be found, which were sent for a postmortem. The workers were not sure if the dogs were dead or unconscious while being burnt. “But they felt they could see the limbs of a dog move while it was on fire,“ she further said.</t>
    </r>
  </si>
  <si>
    <t>10 puppies stoned to death, no complaint filed</t>
  </si>
  <si>
    <t>News- Kaumudi online</t>
  </si>
  <si>
    <t>20 dogs strangled to death by Jose Maveli and henchman in public and in front of children</t>
  </si>
  <si>
    <t>Ernakulam</t>
  </si>
  <si>
    <t>Dog had a litter of pups in an unused place beside a hostel canteen. While cleaning and decorating the area for a festival, canteen employees throw the puppies in a garbage dump. Rescued</t>
  </si>
  <si>
    <t>22 Street dogs found dead on the road. Buried without postmortem. Police say investigation is underway</t>
  </si>
  <si>
    <t>Gram panchayat killed 22 dogs and buried them in a vacant plot. Executed by panchayat administration + Street Dog Eradication Group. Case registered against 17 panchayat members u/s 428, 429 IPC, s 11 PCA</t>
  </si>
  <si>
    <t>Kalady</t>
  </si>
  <si>
    <t xml:space="preserve">Activists of the youth wing of the Kerala Congress (Mani) killed 8 Street dogs, tied four of them to a pole and paraded the carcasses in Kottayam town. They then left them in front of the Kottayam West post office, demanding that the bodies be sent in a parcel to Union minister Maneka Gandhi's office. Arrested u/s 429, 143, 147, 149 IPC and PCA. Released on bail </t>
  </si>
  <si>
    <t>24 dogs killed by asphyxiation. Approved by panchayat and executed by Jose Maveli and others of the Street Dog Eradication Group</t>
  </si>
  <si>
    <t>Chengamanadu</t>
  </si>
  <si>
    <t>10 dogs killed. 6 arrested, released on bail</t>
  </si>
  <si>
    <t>7 dogs killed with support of panchayat member</t>
  </si>
  <si>
    <t>Njarakkal</t>
  </si>
  <si>
    <t>Non-resident of an apartment hired gypsies and a child to kill cats of the apartment. 4 gunny bags were found, filled with cats. The cats had suffocated to death, some were dehydrated and treated. Cats were being killed and sold for meat. Some pet cats were also stolen. Three cases filed u/s 429 IPC r/w 511 IPC &amp; 329 IPC. Child charged u/JJA. Accused questioned by police</t>
  </si>
  <si>
    <t>Housing society hire cleaning supervisor to kill 11 newborn puppies because their noises were disturbing some residents. Puppies were collected in a polythene bag which was tied tightly and thrown in the garbage in heavy rains. Puppies were rescued after an eyewitness shared photos of the incident. Case booked against cleaning supervisor, chariman and secretary of the housing society u/PCA, Bombay Police Act</t>
  </si>
  <si>
    <t>In the "posh" residential complex of Diamond City West (DCW) in South Kolkata, the upper middle-class residents have been lynching and slaughtering street dogs -- at least 16 of them.</t>
  </si>
  <si>
    <t>50 dogs burnt alive by unknown people for killing their livestock</t>
  </si>
  <si>
    <t>Keezhamur</t>
  </si>
  <si>
    <t>Poisoned meat left on road to kill Street dogs. Carcasses of the dead dogs dumped in a canal which has contaminated drinking water distributed in the area. Four pet dogs have also died as a result of the poisoned meat. Case registered, police questioning suspects</t>
  </si>
  <si>
    <t>Four pups thrown wrapped in a cement bag</t>
  </si>
  <si>
    <t>Wild monkey caught by professional monkey catcher for creating nuisance with 2-3 other monkeys over 6 months. Rope tied around its neck, arms tied tightly behind its back, ankles secured with a cord, later put into a cage. Forest dept  said it will be released in the countryside</t>
  </si>
  <si>
    <t>https://www.indiatoday.in/india/story/dog-culling-kerala-air-guns-stray-dogs-345340-2016-10-06</t>
  </si>
  <si>
    <t>College alumni association distribute air guns, offering a discount to people facing a problem with Street dogs, and a higher discount to those who have a police complaint against them for killing a dog. The pledge being spread goes "God, protect us from Street dogs, give us the strength and courage to kill Street dogs, all Street dogs are dangerous..."</t>
  </si>
  <si>
    <t>34 puppies were found abandoned in a vacant plot. These were later rescued, but it was too late by then since two of the puppies had already died. it seemed like the puppies were relocated as their mother was not around. These puppies are around 20-days-old and cannot commute on their own.</t>
  </si>
  <si>
    <t>Jose Mavelli boasts of killing 2000+ Street dogs. Declares his intention to kill all Street dogs in Kerala, despite having 8 cases pending against him</t>
  </si>
  <si>
    <t>47 dogs taken for sterilization but three days later, they were discovered lying dead with their mouth and limbs tied, 30 km away. Complaint filed</t>
  </si>
  <si>
    <t>Several mass culling reports, no cases against culprits. Major tacit support from State govt. SC and Kerala HC both intervened, no recorded implementation of ABC, massive culling of Streets in several 1000s. Chiittilapilly, Street dog free movement</t>
  </si>
  <si>
    <t>40 Street dogs died from being injected with potassium cyanide. Case registered u/s 11(1)(l) PCA. Dog catchers were hired by the panchayat, used metal wires and bottles of poison. Post mortem ordered</t>
  </si>
  <si>
    <t>Kannur</t>
  </si>
  <si>
    <t>Panchayat president hired gypsies to kill all the dogs on the beach. A family had brought their pet dog to exercise and the dog was fatally shot. President claimed they had no business bringing the dog to the beach. 4 more dead bodies founds. 15 bodies had been dumped in the sea, but washed ashore. FIR filed against 3 u/ Arms Act, 429 IPC, PCA. Bodies sent for postmortem</t>
  </si>
  <si>
    <t>50 dogs killed, bodies burnt. Dogs had bit some cattle and goats, this was an act of retaliation. Case registered against four people u/s 429 IPC, s 11(1)(L) PCA</t>
  </si>
  <si>
    <t>A dentist in the posh Nizamuddin East area of south Delhi got irritated with the seven dogs living in his neighbourhood, abducted five of them and dumped them elsewhere.</t>
  </si>
  <si>
    <t>3 dogs, one puppy and 15 crows died of poisoning. Several others rescued and saved. Case registered u/ss 328, 428, 429 IPC. Culprit identified, case to go to trial</t>
  </si>
  <si>
    <t>Dog catcher van dumps dogs and pups on highway, one puppy already run over</t>
  </si>
  <si>
    <t>400 Dogs poisoned with cyanide and buried.</t>
  </si>
  <si>
    <t>Villipuram</t>
  </si>
  <si>
    <t>Seven dogs poisoned in Jahangirpura, 2 died.</t>
  </si>
  <si>
    <t>Dog being killed by lethal cyanide injection inside college premises. Hindustan University paid a dog catcher for the culling. Case registered against 8 u/ss 277, 278, 428, 429 IPC and s 11 PCA</t>
  </si>
  <si>
    <t>Padappai</t>
  </si>
  <si>
    <t xml:space="preserve">Times of India </t>
  </si>
  <si>
    <t>Mass relocation of Street dogs being done in utterly illegal, brutally cruel manner.</t>
  </si>
  <si>
    <t>Street dogs caputured (using iron tongs and wooden clubs), caged and killed in big numbers by employees of Shilling Muncipal Board. An interim stay order obtained from the Shillong bench of Gauhati High Court against the illegal killings.</t>
  </si>
  <si>
    <t>PCA + ABC</t>
  </si>
  <si>
    <t>100 dogs killed by injecting cyanide. “Many of us here are night shift workers in companies and it very difficult, to walk along or cycle past this stretch to get home at nights, because the dogs attack us or chase us. We had complained to the panchayat and the officials said they would take care of it,” said another resident. “But we never wanted them to be killed and dumped like this,” he added.</t>
  </si>
  <si>
    <t>Thiruvalluvar</t>
  </si>
  <si>
    <t>Men ordered to catch dogs after a bite incident. Photographed dragging a dog who was strangled with 2 ropes, while the men were laughing. Men fired after photo surfaced</t>
  </si>
  <si>
    <t>Greater Kashmir Daily</t>
  </si>
  <si>
    <t xml:space="preserve">Municipal Corporation resorted to killing of Street dogs by poisoning as a knee jerk reaction to address the problem of dog numbers and rabies. More than six thousand Street dogs poisoned. Order was passed by Asgar Samoon, Divisional Commissioner, Srinagar. </t>
  </si>
  <si>
    <t>Srinagar</t>
  </si>
  <si>
    <t>Animal 1</t>
  </si>
  <si>
    <t>Category 2</t>
  </si>
  <si>
    <t>Category 1</t>
  </si>
  <si>
    <t>Source 1 Category</t>
  </si>
  <si>
    <t>Source</t>
  </si>
  <si>
    <t>Details</t>
  </si>
  <si>
    <t>Criminal Case Category</t>
  </si>
  <si>
    <t>State</t>
  </si>
  <si>
    <t>City/Village</t>
  </si>
  <si>
    <t>Table</t>
  </si>
  <si>
    <t>Sr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</si>
</sst>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mmmm\,\ yyyy"/>
    <numFmt numFmtId="166" formatCode="mmmm\ yyyy"/>
  </numFmts>
  <fonts count="15" x14ac:knownFonts="1">
    <font>
      <sz val="12"/>
      <color theme="1"/>
      <name val="Calibri"/>
      <family val="2"/>
      <scheme val="minor"/>
    </font>
    <font>
      <sz val="12"/>
      <color theme="1"/>
      <name val="Arial"/>
    </font>
    <font>
      <sz val="12"/>
      <color theme="1"/>
      <name val="Arial"/>
      <family val="2"/>
    </font>
    <font>
      <sz val="12"/>
      <color rgb="FF000000"/>
      <name val="Arial"/>
      <family val="2"/>
    </font>
    <font>
      <u/>
      <sz val="12"/>
      <color theme="1"/>
      <name val="Arial"/>
      <family val="2"/>
    </font>
    <font>
      <sz val="12"/>
      <name val="Arial"/>
      <family val="2"/>
    </font>
    <font>
      <u/>
      <sz val="12"/>
      <color rgb="FF1155CC"/>
      <name val="Arial"/>
      <family val="2"/>
    </font>
    <font>
      <u/>
      <sz val="12"/>
      <color theme="10"/>
      <name val="Arial"/>
      <family val="2"/>
    </font>
    <font>
      <sz val="12"/>
      <color rgb="FFFF0000"/>
      <name val="Arial"/>
      <family val="2"/>
    </font>
    <font>
      <i/>
      <sz val="12"/>
      <color theme="1"/>
      <name val="Arial"/>
      <family val="2"/>
    </font>
    <font>
      <b/>
      <sz val="12"/>
      <color rgb="FFFF0000"/>
      <name val="Arial"/>
      <family val="2"/>
    </font>
    <font>
      <u/>
      <sz val="12"/>
      <color rgb="FF0000FF"/>
      <name val="Arial"/>
      <family val="2"/>
    </font>
    <font>
      <b/>
      <sz val="12"/>
      <color theme="1"/>
      <name val="Arial"/>
      <family val="2"/>
    </font>
    <font>
      <sz val="12"/>
      <color theme="1"/>
      <name val="Calibri"/>
      <family val="2"/>
    </font>
    <font>
      <u/>
      <sz val="12"/>
      <color rgb="FFFF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2">
    <xf numFmtId="0" fontId="0" fillId="0" borderId="0"/>
    <xf numFmtId="0" fontId="1" fillId="0" borderId="0"/>
  </cellStyleXfs>
  <cellXfs count="30">
    <xf numFmtId="0" fontId="0" fillId="0" borderId="0" xfId="0"/>
    <xf numFmtId="0" fontId="1" fillId="0" borderId="0" xfId="1"/>
    <xf numFmtId="0" fontId="2" fillId="0" borderId="0" xfId="1" applyFont="1"/>
    <xf numFmtId="0" fontId="2" fillId="0" borderId="0" xfId="1" applyFont="1" applyAlignment="1">
      <alignment horizontal="center" vertical="center" wrapText="1"/>
    </xf>
    <xf numFmtId="0" fontId="2" fillId="0" borderId="1" xfId="1" applyFont="1" applyBorder="1" applyAlignment="1">
      <alignment horizontal="center" vertical="center" wrapText="1"/>
    </xf>
    <xf numFmtId="0" fontId="3" fillId="0" borderId="1" xfId="1" applyFont="1" applyBorder="1" applyAlignment="1">
      <alignment horizontal="center" vertical="center" wrapText="1"/>
    </xf>
    <xf numFmtId="0" fontId="2" fillId="0" borderId="1" xfId="1" applyFont="1" applyBorder="1" applyAlignment="1">
      <alignment horizontal="center" vertical="center"/>
    </xf>
    <xf numFmtId="0" fontId="4" fillId="0" borderId="1" xfId="1" applyFont="1" applyBorder="1" applyAlignment="1">
      <alignment horizontal="center" vertical="center" wrapText="1"/>
    </xf>
    <xf numFmtId="0" fontId="5" fillId="0" borderId="0" xfId="1" applyFont="1" applyAlignment="1">
      <alignment horizontal="center" wrapText="1"/>
    </xf>
    <xf numFmtId="0" fontId="6" fillId="0" borderId="0" xfId="1" applyFont="1" applyAlignment="1">
      <alignment horizontal="center" wrapText="1"/>
    </xf>
    <xf numFmtId="0" fontId="3" fillId="0" borderId="0" xfId="1" applyFont="1" applyAlignment="1">
      <alignment horizontal="center" wrapText="1"/>
    </xf>
    <xf numFmtId="0" fontId="5" fillId="0" borderId="1" xfId="1" applyFont="1" applyBorder="1" applyAlignment="1">
      <alignment horizontal="center" wrapText="1"/>
    </xf>
    <xf numFmtId="0" fontId="6" fillId="0" borderId="1" xfId="1" applyFont="1" applyBorder="1" applyAlignment="1">
      <alignment horizontal="center" wrapText="1"/>
    </xf>
    <xf numFmtId="0" fontId="3" fillId="0" borderId="1" xfId="1" applyFont="1" applyBorder="1" applyAlignment="1">
      <alignment horizontal="center" wrapText="1"/>
    </xf>
    <xf numFmtId="0" fontId="7" fillId="0" borderId="1" xfId="1" applyFont="1" applyBorder="1" applyAlignment="1">
      <alignment horizontal="center" vertical="center" wrapText="1"/>
    </xf>
    <xf numFmtId="0" fontId="4" fillId="0" borderId="0" xfId="1" applyFont="1" applyAlignment="1">
      <alignment horizontal="center" vertical="center" wrapText="1"/>
    </xf>
    <xf numFmtId="0" fontId="1" fillId="0" borderId="1" xfId="1" applyBorder="1" applyAlignment="1">
      <alignment horizontal="center" vertical="center" wrapText="1"/>
    </xf>
    <xf numFmtId="0" fontId="8" fillId="0" borderId="1" xfId="1" applyFont="1" applyBorder="1" applyAlignment="1">
      <alignment horizontal="center" vertical="center" wrapText="1"/>
    </xf>
    <xf numFmtId="0" fontId="3" fillId="0" borderId="1" xfId="1" applyFont="1" applyBorder="1" applyAlignment="1">
      <alignment horizontal="center" vertical="center"/>
    </xf>
    <xf numFmtId="0" fontId="6"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3" fillId="0" borderId="0" xfId="1" applyFont="1" applyAlignment="1">
      <alignment horizontal="center" vertical="center" wrapText="1"/>
    </xf>
    <xf numFmtId="0" fontId="3" fillId="0" borderId="2" xfId="1" applyFont="1" applyBorder="1" applyAlignment="1">
      <alignment horizontal="center" vertical="center" wrapText="1"/>
    </xf>
    <xf numFmtId="0" fontId="7" fillId="0" borderId="1" xfId="1" applyFont="1" applyBorder="1" applyAlignment="1">
      <alignment horizontal="center" vertical="center"/>
    </xf>
    <xf numFmtId="0" fontId="12" fillId="0" borderId="1" xfId="1" applyFont="1" applyBorder="1" applyAlignment="1">
      <alignment horizontal="center" vertical="center" wrapText="1"/>
    </xf>
    <xf numFmtId="165" fontId="2" fillId="0" borderId="1" xfId="1" applyNumberFormat="1" applyFont="1" applyBorder="1" applyAlignment="1">
      <alignment horizontal="center" vertical="center"/>
    </xf>
    <xf numFmtId="166" fontId="2" fillId="0" borderId="1" xfId="1" applyNumberFormat="1" applyFont="1" applyBorder="1" applyAlignment="1">
      <alignment horizontal="center" vertical="center"/>
    </xf>
    <xf numFmtId="0" fontId="13" fillId="0" borderId="1" xfId="1" applyFont="1" applyBorder="1" applyAlignment="1">
      <alignment horizontal="center"/>
    </xf>
    <xf numFmtId="0" fontId="14" fillId="0" borderId="1" xfId="1" applyFont="1" applyBorder="1" applyAlignment="1">
      <alignment horizontal="center" vertical="center" wrapText="1"/>
    </xf>
    <xf numFmtId="0" fontId="2" fillId="0" borderId="3" xfId="1" applyFont="1" applyBorder="1" applyAlignment="1">
      <alignment horizontal="center" vertical="center" wrapText="1"/>
    </xf>
  </cellXfs>
  <cellStyles count="2">
    <cellStyle name="Normal" xfId="0" builtinId="0"/>
    <cellStyle name="Normal 2" xfId="1" xr:uid="{785E8EE2-1B0F-BC42-8279-379156DA1917}"/>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m.facebook.com/story.php?story_fbid=10214232681838604&amp;id=1461825229" TargetMode="External"/><Relationship Id="rId671" Type="http://schemas.openxmlformats.org/officeDocument/2006/relationships/hyperlink" Target="https://www.facebook.com/1088149218010095/photos/a.1088660761292274/1102203796604637/?type=3&amp;theater" TargetMode="External"/><Relationship Id="rId769" Type="http://schemas.openxmlformats.org/officeDocument/2006/relationships/hyperlink" Target="https://www.facebook.com/kannananimalwelfare/posts/2030688693703318" TargetMode="External"/><Relationship Id="rId21" Type="http://schemas.openxmlformats.org/officeDocument/2006/relationships/hyperlink" Target="https://www.hindustantimes.com/lucknow/animal-lovers-protest-dog-killings-in-sitapur/story-mD9MuIL10b9ByJp4W9NYwI.html" TargetMode="External"/><Relationship Id="rId324" Type="http://schemas.openxmlformats.org/officeDocument/2006/relationships/hyperlink" Target="https://www.facebook.com/groups/683166908425471/permalink/3562827020459431/" TargetMode="External"/><Relationship Id="rId531" Type="http://schemas.openxmlformats.org/officeDocument/2006/relationships/hyperlink" Target="https://www.entertales.com/hyderabad-boys-burn-puppies-cruelty/?fbclid=IwAR3pZspppFjbeYLN5A_pWR_HWokf9o77aH7t0vFR_tTFdNMHciCnJUCBWF4" TargetMode="External"/><Relationship Id="rId629" Type="http://schemas.openxmlformats.org/officeDocument/2006/relationships/hyperlink" Target="https://www.facebook.com/groups/thepound/permalink/2211496958860791?sfns=mo" TargetMode="External"/><Relationship Id="rId170" Type="http://schemas.openxmlformats.org/officeDocument/2006/relationships/hyperlink" Target="https://m.facebook.com/story.php?story_fbid=1024537424413411&amp;id=100005714887443" TargetMode="External"/><Relationship Id="rId836" Type="http://schemas.openxmlformats.org/officeDocument/2006/relationships/hyperlink" Target="https://www.facebook.com/SARSShillong/photos/a.1698456853727738/2513314968908585/?type=3&amp;theater" TargetMode="External"/><Relationship Id="rId268" Type="http://schemas.openxmlformats.org/officeDocument/2006/relationships/hyperlink" Target="https://www.instagram.com/p/B6wFt_UHct0/?igshid=5gjfb2ss05ty" TargetMode="External"/><Relationship Id="rId475" Type="http://schemas.openxmlformats.org/officeDocument/2006/relationships/hyperlink" Target="https://www.washingtonpost.com/news/animalia/wp/2017/11/08/the-horror-elephants-face-in-india-in-one-heartbreaking-photo/" TargetMode="External"/><Relationship Id="rId682" Type="http://schemas.openxmlformats.org/officeDocument/2006/relationships/hyperlink" Target="https://www.indiatoday.in/india/story/married-man-kills-owl-to-perform-black-magic-for-attracting-woman-in-delhi-1387286-2018-11-13" TargetMode="External"/><Relationship Id="rId903" Type="http://schemas.openxmlformats.org/officeDocument/2006/relationships/hyperlink" Target="https://timesofindia.indiatimes.com/city/hyderabad/hyd-dog-beaten-up-by-guard-critical/articleshow/74232856.cms" TargetMode="External"/><Relationship Id="rId32" Type="http://schemas.openxmlformats.org/officeDocument/2006/relationships/hyperlink" Target="https://punemirror.indiatimes.com/pune/civic/tortured-canine-corpses-rot-on-field-in-lohegaon/articleshow/69917780.cms?fbclid=IwAR3tzIpivgCTXgnP3yVNGOqunqxbBwhrA-ibOGtder37B0AsFr0JiEhW_Zs" TargetMode="External"/><Relationship Id="rId128" Type="http://schemas.openxmlformats.org/officeDocument/2006/relationships/hyperlink" Target="https://timesofindia.indiatimes.com/city/noida/two-booked-for-illegal-dog-breeding-at-gr-noida-home/articleshow/64130314.cms" TargetMode="External"/><Relationship Id="rId335" Type="http://schemas.openxmlformats.org/officeDocument/2006/relationships/hyperlink" Target="http://archive.indianexpress.com/news/greyhounds-set-bathinda-race-track-on-fire/718343/" TargetMode="External"/><Relationship Id="rId542" Type="http://schemas.openxmlformats.org/officeDocument/2006/relationships/hyperlink" Target="https://www.instagram.com/p/BK-2Ej4he2T/?utm_source=ig_web_copy_link" TargetMode="External"/><Relationship Id="rId181" Type="http://schemas.openxmlformats.org/officeDocument/2006/relationships/hyperlink" Target="https://www.facebook.com/VOVHYD/videos/2335654846705620/?__xts__%5b0%5d=68.ARAZqbov-VZoW3fjsAXoG_X2c32sDZzjL9LmXXcJipyL6trELyd16hctcdB69249QH4zZePr4KZxotMfEgKSYO0LaCySJw_OtqS5in2big9xCf8VshJtCvOSHZ7FhlOqeg_cNfuSVkYkjNcDEu5waI0uVL7ZcJkelNM5JyUmDK9TeYSdyV3i" TargetMode="External"/><Relationship Id="rId402" Type="http://schemas.openxmlformats.org/officeDocument/2006/relationships/hyperlink" Target="https://www.facebook.com/AnimalAidUnlimited/videos/10156295403468259/?__xts__%5B0%5D=68.ARDZVUQeJydZkxnxhYjJVyheuT6gNQNTHNnhcEH9XI-MKH8IaDd8MEsrGW_RWKfhd-KnF1z4VEFHQFHDLYfdMlvaQUom2UF6-O3K3E5VhuiHBICika4ZAR88nqbiaZ4ufecZRPneJ7mDQdbO9rhzPs0_g412rlFKk96qCVAlFs4Q9afEisVeHdwSVF5uPxbbP7NJwhFJL6kNLS6JZvW1yCjANfCeh9uCTnuMTMkgCKHXrMnKku-Z3y8RCWG1et-W9tQqjYxLgh7qVdHFZ_7errggktn2NsQdrLB-uB3_xNGPpnaw840PukHZjjXOtP9merR_7DqzTFxGdIpeW4Px9eEOR6PViw&amp;__tn__=-R" TargetMode="External"/><Relationship Id="rId847" Type="http://schemas.openxmlformats.org/officeDocument/2006/relationships/hyperlink" Target="https://timesofindia.indiatimes.com/city/dehradun/man-eater-leopard-gunned-down-in-pauri/articleshow/71809530.cms" TargetMode="External"/><Relationship Id="rId279" Type="http://schemas.openxmlformats.org/officeDocument/2006/relationships/hyperlink" Target="https://www.facebook.com/groups/indiaanimalforum/permalink/2666797100069185/" TargetMode="External"/><Relationship Id="rId486" Type="http://schemas.openxmlformats.org/officeDocument/2006/relationships/hyperlink" Target="https://www.indiatoday.in/mail-today/story/delhi-pets-dogs-abducted-killed-dogs-260316-2015-06-30" TargetMode="External"/><Relationship Id="rId693" Type="http://schemas.openxmlformats.org/officeDocument/2006/relationships/hyperlink" Target="https://m.facebook.com/story.php?story_fbid=2483648598328829&amp;id=100000511394134" TargetMode="External"/><Relationship Id="rId707" Type="http://schemas.openxmlformats.org/officeDocument/2006/relationships/hyperlink" Target="https://www.facebook.com/arcKolkata63/posts/2328460167187085?__xts__%5B0%5D=68.ARD4l3mQe3DaVTcwLHlbX7eXNbkR4pI69CbujlAKUSb-E5ab6mAlwjwtLau2LaUSk9RJ2rCTbQrI-DrvEvHyBvDvPAkHe3d_Gm3ibb6TkfP9TWN7u2WprN10OZt4I28OW0eGKY5wlQJQWldBRxNh2VymJU6Fglq4WR5RmBwmGOzfzwD_EA89TAQ6NGWJH5ZtAPZsX_21XBUqla7vzlVW8KGjVm2_08kW5s2zOt1GFkccyMLXMU36b1XrYFsp_y2eCjdT-0SZJvSuM3YjE1e7Q9A7Eb_gebbZTXzwqRtd9ANYkheiU_c53xd4EC-DZG4H9q0TFAaM7_3CW7li1shjiuvX3EhF&amp;__tn__=K-R" TargetMode="External"/><Relationship Id="rId914" Type="http://schemas.openxmlformats.org/officeDocument/2006/relationships/hyperlink" Target="https://bengali.news18.com/news/south-bengal/government-employee-brutally-beaten-street-dog-due-to-attacking-his-pet-goat-sr-414513.html" TargetMode="External"/><Relationship Id="rId43" Type="http://schemas.openxmlformats.org/officeDocument/2006/relationships/hyperlink" Target="https://www.facebook.com/animalwelfareassociationofpanchkula/posts/2508082522752709?__xts__%5B0%5D=68.ARCv6X7ngPlFICerw60TEj1bzqYBafiI3wFyDvXFgPDFuLxO_86QCGQSazmrUiGIC_gO3b3QENwhs6ZrKnxKjQrK9W-uDqD0C3a5CYHcT8uvByow43QFCyEFv1DCgQPBbnU-e4_fna5ORxPG66QZy_u3JUiohVLsg0FHJTM62Q46WT6rXM7AfGmdtdOkNQbpVmQJWQ_RvKfthwIb6blik1xff6Bk4ngcNOUobBcmkmXeLjyAN4dtDl6MbvNk6kHHJwwlKwfUnXLMyX-v6xboKPR_dO2zwBnV8LMB9kEfmVgwXxEO_z1d9ACFzC6kvy66qlK-W1elMJO6CFfpSuYGI4B7LnGD&amp;__tn__=-R" TargetMode="External"/><Relationship Id="rId139" Type="http://schemas.openxmlformats.org/officeDocument/2006/relationships/hyperlink" Target="https://www.hindustantimes.com/gurgaon/two-men-held-in-gurugram-for-carrying-26-puppies-in-car-s-boot/story-25sBgtGAPh3wJ3kFmMGWsM.html" TargetMode="External"/><Relationship Id="rId346" Type="http://schemas.openxmlformats.org/officeDocument/2006/relationships/hyperlink" Target="https://www.news18.com/news/india/naomi-campbell-no-elephant-polo-match-for-boyfriend-520524.html" TargetMode="External"/><Relationship Id="rId553" Type="http://schemas.openxmlformats.org/officeDocument/2006/relationships/hyperlink" Target="https://www.oipa.org/international/leopard-brutally-killed/" TargetMode="External"/><Relationship Id="rId760" Type="http://schemas.openxmlformats.org/officeDocument/2006/relationships/hyperlink" Target="https://www.facebook.com/HIS.Jaipur/posts/2807572575981515?__xts__%5B0%5D=68.ARC10n_RYtECxLnDt1TeRnwyeA4Vs_BKVi1RlzqfZT_ufrgMu9TVIbhCFHpZjy_bDS_jgK7r1mQKSeBnQh_Ziw2thf1xu6ePEMxHZgryadI5Nv0pbUK9tNSCzWjb32Oevc-VQA9hnGSOjRQERhBxUo7GsiPjrzBFBFT3xABlgl8a2R3Ik9U98jfNpbCOcyCE_E4JLcRm6BSGeF3qHNE1E3LytSTU5TYkSSc54g1ksgUM7w6bX4Wfg6YT1oXjF4K84tvgyIwxFjFWKx04CbNKVZV7sGHfKHDp6Ps1yIWad0yVwJoe7r7hZ87oqTFuvtORAQI1pSBwg-lfOcGf43gl9TtBNQ&amp;__tn__=-R" TargetMode="External"/><Relationship Id="rId192" Type="http://schemas.openxmlformats.org/officeDocument/2006/relationships/hyperlink" Target="https://www.facebook.com/kannananimalwelfare/posts/1964763933629128?__xts__%5B0%5D=68.ARDGV6wJQSjvs8Pf7sbLwJRf2I2NxuiRsuyV2HO4oUS9AdBHcD0RJHv4OinLGphwzkvcNcwhwoEVmWqWYRwQ4E4SG_JRa1yPh3XAIG-7C0QVjgzhcXVjRcoaKzDPAU9jP7iWqjXqETfUBpcbXKvrbI14lwlUlH6xru-3Phhk4lb1n-vTQa9Wo3n4NsD8ITG_aRfeq9LEsEpdvOkxB296R-KTpMeFSwSVT4pLlau7je1ZWiSsjX7iZFVGGTMLsM4KdqRuvGLPcObrQAZ70dCiomtdsWnHCnUHk_CqZFLnpsQU-BAa0CSRtsQuDP0IJ_ebPj7VEHwJOr4GEJtNXX3ibQxKZQ&amp;__tn__=-R" TargetMode="External"/><Relationship Id="rId206" Type="http://schemas.openxmlformats.org/officeDocument/2006/relationships/hyperlink" Target="https://m.facebook.com/story.php?story_fbid=10205680574849437&amp;id=1706719657" TargetMode="External"/><Relationship Id="rId413" Type="http://schemas.openxmlformats.org/officeDocument/2006/relationships/hyperlink" Target="https://www.facebook.com/AnimalAidUnlimited/videos/701789416844923/?__xts__%5B0%5D=68.ARCt5NWjmhWWy_1d_ZovuuiLZXJD4YCzfbuluj86VeOhxpNwAX0oDsfwpBdIWOtKDBlLHJ7eVLQFxuMz8Smvm8qa5fF4nyM7Z8tdI0yvYpfKCvU4cq3BqX-WxRDHAUZr3iRl7fR4c2uyxSlOfKYJGNTSx1a-U_10jy1ImKzifwvcK5FkSXwdAOh1UZqidFNiStkXW8lPDKdNyYTO6m2YglIr4Jrw1fDhhOAqYc4649_PRHhAlCZXDOAgFQBoBCD-dYvCYfOXi808TVDgVozLr3OMjCr_m5B7cprB9HgA2121aQ_DXDNoj-CeSaMMixSNBt_uQDQyrNz2duouAgQG7mFb&amp;__tn__=-R" TargetMode="External"/><Relationship Id="rId858" Type="http://schemas.openxmlformats.org/officeDocument/2006/relationships/hyperlink" Target="https://www.facebook.com/permalink.php?story_fbid=688776981658003&amp;id=100015771229127" TargetMode="External"/><Relationship Id="rId497" Type="http://schemas.openxmlformats.org/officeDocument/2006/relationships/hyperlink" Target="https://www.facebook.com/groups/thepound/permalink/1117933494883815/" TargetMode="External"/><Relationship Id="rId620" Type="http://schemas.openxmlformats.org/officeDocument/2006/relationships/hyperlink" Target="https://www.facebook.com/groups/PALThane/permalink/1644220615626977/" TargetMode="External"/><Relationship Id="rId718" Type="http://schemas.openxmlformats.org/officeDocument/2006/relationships/hyperlink" Target="https://www.facebook.com/kochharvikram/posts/330596597568842" TargetMode="External"/><Relationship Id="rId925" Type="http://schemas.openxmlformats.org/officeDocument/2006/relationships/hyperlink" Target="https://timesofindia.indiatimes.com/city/mumbai/mumbai-dog-brutally-beaten-inside-college-campus-fir-registered-against-watchman/articleshow/74429145.cms?from=mdr" TargetMode="External"/><Relationship Id="rId357" Type="http://schemas.openxmlformats.org/officeDocument/2006/relationships/hyperlink" Target="https://www.youtube.com/watch?v=iLZDmLCF_DM&amp;t=4s" TargetMode="External"/><Relationship Id="rId54" Type="http://schemas.openxmlformats.org/officeDocument/2006/relationships/hyperlink" Target="https://www.facebook.com/groups/1886309521427037/permalink/2882841261773853/" TargetMode="External"/><Relationship Id="rId217" Type="http://schemas.openxmlformats.org/officeDocument/2006/relationships/hyperlink" Target="https://www.facebook.com/bluecrossofindia/photos/a.421535982169/10151038356017170/?type=3&amp;theater" TargetMode="External"/><Relationship Id="rId564" Type="http://schemas.openxmlformats.org/officeDocument/2006/relationships/hyperlink" Target="https://www.deccanherald.com/content/596460/stray-dogs-being-slit-stitched.html" TargetMode="External"/><Relationship Id="rId771" Type="http://schemas.openxmlformats.org/officeDocument/2006/relationships/hyperlink" Target="https://www.facebook.com/groups/PALThane/permalink/2406573129391718/" TargetMode="External"/><Relationship Id="rId869" Type="http://schemas.openxmlformats.org/officeDocument/2006/relationships/hyperlink" Target="https://www.facebook.com/gitanjali.das.14/posts/10162802945080287" TargetMode="External"/><Relationship Id="rId424" Type="http://schemas.openxmlformats.org/officeDocument/2006/relationships/hyperlink" Target="https://www.timesnownews.com/india/article/jallikattu-2019-news-tamil-nadu-madurai-avaniyapuram-palamedu-bull-taming-injured-jallikattu-images-supreme-court-ban-animal-cruelty/348794" TargetMode="External"/><Relationship Id="rId631" Type="http://schemas.openxmlformats.org/officeDocument/2006/relationships/hyperlink" Target="https://m.facebook.com/story.php?story_fbid=1923303064370931&amp;id=100000737685846" TargetMode="External"/><Relationship Id="rId729" Type="http://schemas.openxmlformats.org/officeDocument/2006/relationships/hyperlink" Target="https://timesofindia.indiatimes.com/city/noida/greater-noida-cow-shelter-overcrowded-with-strays-200-die-in-two-months/articleshow/68327045.cms" TargetMode="External"/><Relationship Id="rId270" Type="http://schemas.openxmlformats.org/officeDocument/2006/relationships/hyperlink" Target="https://www.facebook.com/gunjan.uppal.5/posts/10158066737509123" TargetMode="External"/><Relationship Id="rId936" Type="http://schemas.openxmlformats.org/officeDocument/2006/relationships/hyperlink" Target="https://www.instagram.com/p/B_95XLNjF9D/?igshid=1nyfnxsah2jd5" TargetMode="External"/><Relationship Id="rId65" Type="http://schemas.openxmlformats.org/officeDocument/2006/relationships/hyperlink" Target="https://www.facebook.com/permalink.php?story_fbid=1625615317677801&amp;id=1479152498990751" TargetMode="External"/><Relationship Id="rId130" Type="http://schemas.openxmlformats.org/officeDocument/2006/relationships/hyperlink" Target="https://www.facebook.com/groups/PALThane/permalink/1719895904726114/" TargetMode="External"/><Relationship Id="rId368" Type="http://schemas.openxmlformats.org/officeDocument/2006/relationships/hyperlink" Target="https://www.instagram.com/p/BIFrgPEBlDS/?utm_source=ig_web_copy_link" TargetMode="External"/><Relationship Id="rId575" Type="http://schemas.openxmlformats.org/officeDocument/2006/relationships/hyperlink" Target="https://m.facebook.com/story.php?story_fbid=1508979135840872&amp;id=336779206394210" TargetMode="External"/><Relationship Id="rId782" Type="http://schemas.openxmlformats.org/officeDocument/2006/relationships/hyperlink" Target="https://www.timesnownews.com/mirror-now/in-focus/article/animal-cruelty-stray-dog-dragged-to-death-by-tying-it-with-vehicle-in-mumbai/472675" TargetMode="External"/><Relationship Id="rId228" Type="http://schemas.openxmlformats.org/officeDocument/2006/relationships/hyperlink" Target="https://www.facebook.com/SARSShillong/photos/a.1698456853727738/2455890984650984/?type=3&amp;theater" TargetMode="External"/><Relationship Id="rId435" Type="http://schemas.openxmlformats.org/officeDocument/2006/relationships/hyperlink" Target="https://www.thebetterindia.com/174349/india-temple-elephant-rescue-heartwarming-pune/" TargetMode="External"/><Relationship Id="rId642" Type="http://schemas.openxmlformats.org/officeDocument/2006/relationships/hyperlink" Target="https://www.facebook.com/HIS.Jaipur/posts/1991432690928845?__xts__%5B0%5D=68.ARACKqOlz2aNWiF-nZbVeEnVGNvhaFeJxd3_VcNriMWBQWqL2wJZSZ9lxu25MVTsTfWcnKAaZpIWYxFPFD1m3M-txeKbv3iXq2hw7K-tU1Ba4j3u-yH9RRFDj-5Ua4AoqYyjSLJUQjcWD_VavO4WKJiRsuxTV_adrPoEHsM4M7QlZa2vRaJRJnXXPLIV84OnNtIc2GR_6iG8MiVJkt01ZS38TRE5ZsiN019S1JNfcYJ5ZXDwTtprS-mOGhskNiUfx2Oj64PcpS3Zk1EmLzH5lUdj08EaVs0EFRe621dZFuhX7hkUEtkZjQc95puz95eWVAyj3APFjRvlzRGHz38b_m1JQg&amp;__tn__=-R" TargetMode="External"/><Relationship Id="rId281" Type="http://schemas.openxmlformats.org/officeDocument/2006/relationships/hyperlink" Target="https://www.facebook.com/groups/PALThane/permalink/2752167421498952/" TargetMode="External"/><Relationship Id="rId502" Type="http://schemas.openxmlformats.org/officeDocument/2006/relationships/hyperlink" Target="https://www.facebook.com/pg/PrayasINDIA/photos/?tab=album&amp;album_id=1028555760542418&amp;__xts__%5B0%5D=68.ARCQWAM4xG7HZZ9q3ZZzcSGLKdZu5N_d3FgFjCkqKHqZIsMJojYcjc2axvkK1MNiFrPcnCgovmMMH9AXQ9GV7m93rWtxEopjdSnZoHucSj3GsxzKco-OsSkQz0roE9delkmnOHKjHONNEaSR11RRhpghzB8yhbac-6_67jbO9Isz7ovdYyhDWSpys5mThWwJxcPwqsgwDSIhsGWsmKGwcfoIc5vZm1Kj0pybQjVzm5a6FVMyW30sOG-njpx-cp1uPragDvRJrFa1DrOF70t0jhKcyVYb-LPXc6PMVKvftmmeEhdPW0QHoqu3O5SWV5vxMv-FM7GNfqGM-6tnoZKvCJBesufIWzHQI9KZyBzfdYsfDlyi9pgKr52GJi7VBdn0K131Hqi_0kXKNeTCuSYdx_FosHNMGuF8GaTrQry64uK_VivVYBrxrH0dIA72Mkav8u3N0UQaL9ihv92K4NPN&amp;__tn__=-UC-R" TargetMode="External"/><Relationship Id="rId947" Type="http://schemas.openxmlformats.org/officeDocument/2006/relationships/hyperlink" Target="https://www.change.org/p/make-delhi-canine-rabies-free-not-by-killing-dogs-but-by-participating-in-the-abc-programme/u/26975593?cs_tk=AiJagunBugylO68p6V4AAXicyyvNyQEABF8BvENM_d3xjFylQvmdjaDLp0c%3D&amp;utm_campaign=beb8275c991943339a68cbbab3350e33&amp;utm_content=" TargetMode="External"/><Relationship Id="rId76" Type="http://schemas.openxmlformats.org/officeDocument/2006/relationships/hyperlink" Target="https://www.facebook.com/1490798644550799/posts/1540167929613870/?d=n" TargetMode="External"/><Relationship Id="rId141" Type="http://schemas.openxmlformats.org/officeDocument/2006/relationships/hyperlink" Target="https://m.facebook.com/story.php?story_fbid=1537879886358105&amp;id=100004083241188" TargetMode="External"/><Relationship Id="rId379" Type="http://schemas.openxmlformats.org/officeDocument/2006/relationships/hyperlink" Target="https://m.facebook.com/story.php?story_fbid=10155182946408259&amp;substory_index=0&amp;id=265906613258" TargetMode="External"/><Relationship Id="rId586" Type="http://schemas.openxmlformats.org/officeDocument/2006/relationships/hyperlink" Target="https://www.facebook.com/groups/PALThane/permalink/1440542879328086/" TargetMode="External"/><Relationship Id="rId793" Type="http://schemas.openxmlformats.org/officeDocument/2006/relationships/hyperlink" Target="https://www.facebook.com/groups/PALThane/permalink/2483805265001837/" TargetMode="External"/><Relationship Id="rId807" Type="http://schemas.openxmlformats.org/officeDocument/2006/relationships/hyperlink" Target="https://ahmedabadmirror.indiatimes.com/ahmedabad/others/missing-dogs-found-with-burns-acid-attack-suspected/articleshow/71355265.cms" TargetMode="External"/><Relationship Id="rId7" Type="http://schemas.openxmlformats.org/officeDocument/2006/relationships/hyperlink" Target="https://www.indiatoday.in/india/story/dog-culling-kerala-air-guns-stray-dogs-345340-2016-10-06" TargetMode="External"/><Relationship Id="rId239" Type="http://schemas.openxmlformats.org/officeDocument/2006/relationships/hyperlink" Target="https://www.facebook.com/hopeandanimal/posts/2547249765296710" TargetMode="External"/><Relationship Id="rId446" Type="http://schemas.openxmlformats.org/officeDocument/2006/relationships/hyperlink" Target="https://www.facebook.com/HIS.Jaipur/posts/3317349051670529?__xts__%5B0%5D=68.ARD-oC5KzM0tX3M4dC2FzpzxpzdUsG4jdDzV6QJp2C6oLByZ_w6QBpZZgAk7wL6SvXP2LvrIegC668ig7fy30XYxOuBoIX6Ps40MsupVztWzv0nc28rNO98wXjdOsIqr4EUulZ9tndmECxBMj5ll5ijjpit-kiDHaxLJZZ78-OGDVk6VSXGx2IdtLCVpb9DDFl3QKKOzM-zm6UUFsqYbS-6G64i0bGbUcQpPPQKwQhmtNyNJZcgUuwj98Sogdj_Kf1sOjUBi5xTmeN_OHuW5S_X0FlON6Can7PCe9k1DBR-Wo4uwybrXihpdJ6qeKwNfgcOtTnWCefGlLq6b4NNXOAMGtQ&amp;__tn__=-R" TargetMode="External"/><Relationship Id="rId653" Type="http://schemas.openxmlformats.org/officeDocument/2006/relationships/hyperlink" Target="https://www.facebook.com/groups/sgacc/search/?query=acid%20attack&amp;epa=SEARCH_BOX" TargetMode="External"/><Relationship Id="rId292" Type="http://schemas.openxmlformats.org/officeDocument/2006/relationships/hyperlink" Target="https://www.facebook.com/pawsforacausencr/posts/1652728961537049?__xts__%5B0%5D=68.ARDS4AJcrVn_a2Hi6zwE3eWovLk1SMCJ5gjAlgVd-vOKzysStcwqaAsuadoMEmsn0t36IQqqNQnpIpjSHi5VJ5U87peuFzmVdqC5PbgoZN3oASaMsTMpXwusNDjqOKiZsI2y7Tv67NQ175S1Krv3M_iYM_uJo3kuNSrod0Wp4aZ7gLWSDI9D6E_AoLHBZEma4FEbgwLE_6vzrOITE4-x1Haypj9xGkobflZ5WQgjooB0ZRSSE1rspAkfePWxpWQ-YHl76R1Qsy4rRRqZ1OnNzxH3nGxnwYHiFevu7k8tMVtOUPBrB7zpI_2yDlVaIg&amp;__tn__=H-R" TargetMode="External"/><Relationship Id="rId306" Type="http://schemas.openxmlformats.org/officeDocument/2006/relationships/hyperlink" Target="https://www.facebook.com/pawsforacausencr/posts/1669581463185132?__xts__%5B0%5D=68.ARC70jGwdK6pYgmq1n3ED7Uru3WBuUsRr94rme5238VPq4GyY4caPsWI3BXFIMGx7a_J3ikyleBTRgHcj84CyX5KFMwf4v8iabh7P-0oB-Q0LoiTacrsbPqytvt8QDqnPxFf02pF6q6JefgaxCkdO8bYNPkIAAr7-_WYEI30BE88iBcUOmyQsP0yP_6N0aolpV9Srrg2P7uAheuCIcrMZcBxrnXDwlga5m_Mxmpt9L_1rW-flg15-HkekcA3_yHVmif4kHyIYWQR5wbecEFFEisW_OX3DccN4vgD62alOhhqdOYLuODuLcRYr7oHHukWFyztSJhm5125k9O5l8m7IpovTA&amp;__tn__=-R" TargetMode="External"/><Relationship Id="rId860" Type="http://schemas.openxmlformats.org/officeDocument/2006/relationships/hyperlink" Target="https://www.facebook.com/groups/1382277738753927/permalink/2493125561002467/" TargetMode="External"/><Relationship Id="rId958" Type="http://schemas.openxmlformats.org/officeDocument/2006/relationships/hyperlink" Target="https://www.facebook.com/groups/PALThane/permalink/2760809470634747/" TargetMode="External"/><Relationship Id="rId87" Type="http://schemas.openxmlformats.org/officeDocument/2006/relationships/hyperlink" Target="https://www.facebook.com/PrayasINDIA/posts/1167962959935030?__xts__%5B0%5D=68.ARAGcLzm2zIasOmwi9dlPNabZaWkqdO12GiJn2URR-ttneSoDefJlE5sZsfpzpHw6SpZtkh28uqNnidiEjMA4CGjZ8p4_ffkQVFE6lnQW0xEWxaOClEAJhzwy11SueK6EvDWBpfUe7tQk7eBZmNVckK9bRonuVBzhvgIQzre-NN0HWIKT2FGj6J4DzafBCyWQNp3ZbIBcrlQm-D5QSQ52kzaxeiQBAS8f5SmdVjFE3AqOjU6sU0jU5gB0hdYQ7zRHKgOy0WZ8Zb2-mKXsr2K8TLMFIo8p3M58JAxChxRS8pHicZSigmSV7uadoYlbdw0MhBJHo4LeEqoJFnnzpcjV9jnXw&amp;__tn__=-R" TargetMode="External"/><Relationship Id="rId513" Type="http://schemas.openxmlformats.org/officeDocument/2006/relationships/hyperlink" Target="https://www.india.com/news/india/disgusting-drunk-man-rapes-cow-after-it-escaped-from-farmers-shed-in-madhya-pradesh-1062712/" TargetMode="External"/><Relationship Id="rId597" Type="http://schemas.openxmlformats.org/officeDocument/2006/relationships/hyperlink" Target="https://www.facebook.com/groups/sgacc/search/?query=acid%20attack&amp;epa=SEARCH_BOX" TargetMode="External"/><Relationship Id="rId720" Type="http://schemas.openxmlformats.org/officeDocument/2006/relationships/hyperlink" Target="https://timesofindia.indiatimes.com/city/gurgaon/300-goats-stuffed-into-truck-2-held/articleshow/67823979.cms" TargetMode="External"/><Relationship Id="rId818" Type="http://schemas.openxmlformats.org/officeDocument/2006/relationships/hyperlink" Target="https://www.facebook.com/avneesh.mathur.5/posts/3295851600489896" TargetMode="External"/><Relationship Id="rId152" Type="http://schemas.openxmlformats.org/officeDocument/2006/relationships/hyperlink" Target="https://www.facebook.com/HIS.Jaipur/photos/a.336812909724173/2235963519809093/?type=3&amp;__xts__%5B0%5D=68.ARA9Cktbv5KqkZcQfUvQzOgb9lXnyFUNw6s3cHYhYds-emwYlFlm22Y6PVsia8EfANY-04zA6DL0kw-EGyqbjzNao_k9N2yUMhnacOTEVG3hpzOFgKINvBrftLD-l_pkhTRSb5IhDy2SVwGqvSdBFo_qhFWd3XYU2FCVP76d083NouZG5a-c4fVvlQKBsQHy5K2Qk4YpTiXqmB3s833qBT-grlIEN-Tp_YsK4WfeVsno_ospF80EO5AWu2ZWmpIacdKRjeFqRGSY80D5nmFBUubBVQmpoPb_QtVXM_n1TGVjhGH65YANGkZImjFd2MuDVfua6OXrqUPL9HLaPNzwOE1mkw&amp;__tn__=-R" TargetMode="External"/><Relationship Id="rId457" Type="http://schemas.openxmlformats.org/officeDocument/2006/relationships/hyperlink" Target="https://timesofindia.indiatimes.com/city/mangaluru/kambala-nishanth-shetty-breaks-srinivas-gowdas-record-finishes-100m-in-9-52-secs/articleshow/74193182.cms" TargetMode="External"/><Relationship Id="rId664" Type="http://schemas.openxmlformats.org/officeDocument/2006/relationships/hyperlink" Target="https://www.facebook.com/groups/PALThane/permalink/1885481668167536/" TargetMode="External"/><Relationship Id="rId871" Type="http://schemas.openxmlformats.org/officeDocument/2006/relationships/hyperlink" Target="https://www.facebook.com/photo.php?fbid=10158108700268453&amp;set=a.10154564912498453&amp;type=3" TargetMode="External"/><Relationship Id="rId969" Type="http://schemas.openxmlformats.org/officeDocument/2006/relationships/hyperlink" Target="https://timesofindia.indiatimes.com/city/navi-mumbai/suo-moto-fir-lodged-as-viral-video-shows-cruelty-against-animals-4-accused-held/articleshow/76429519.cms" TargetMode="External"/><Relationship Id="rId14" Type="http://schemas.openxmlformats.org/officeDocument/2006/relationships/hyperlink" Target="https://timesofindia.indiatimes.com/city/nagpur/pictures-of-cruelty-to-animals-in-akola-shock-activists/articleshow/60712352.cms" TargetMode="External"/><Relationship Id="rId317" Type="http://schemas.openxmlformats.org/officeDocument/2006/relationships/hyperlink" Target="https://www.facebook.com/groups/dwarkadoglovers/permalink/2578425012478432/" TargetMode="External"/><Relationship Id="rId524" Type="http://schemas.openxmlformats.org/officeDocument/2006/relationships/hyperlink" Target="https://www.assistinganimals.com/" TargetMode="External"/><Relationship Id="rId731" Type="http://schemas.openxmlformats.org/officeDocument/2006/relationships/hyperlink" Target="https://www.facebook.com/kochharvikram/photos/a.329887234306445/335241730437662/?type=3&amp;__xts__%5B0%5D=68.ARBvEZ6eu1haAGzJ5kuFdtCn5Ebm-ZW4TtE4h7zlWT9Br1V56B7E5c7xtExNkm-olXA4nkbAd3OMYkPG1PY0irLQ6WjHId-KxsCvqXyQaXnMFh95B3ByKVk4ctnfcSXECYyb_H1_amWCIXUJozxhgXPL_-e-ZkqBI8weLkrkzzw2zlVI5tdfZ5Lw9em6b6E90aTVvOGJYxyL4el2BF_4hIzsmNwbMGu_wKI5bkKAcup5nJfV2If9pYOl1nDs9kX8wfYRgFun142VH_d6uapVPG7Faxv7KITPEB9yJ9S-ZH5Dcs1OqATJoKxHWBuH3IQzFhwS3WlwADUDjxPdUUV88Mw&amp;__tn__=-R" TargetMode="External"/><Relationship Id="rId98" Type="http://schemas.openxmlformats.org/officeDocument/2006/relationships/hyperlink" Target="https://m.facebook.com/story.php?story_fbid=804992846321942&amp;id=789045244583369" TargetMode="External"/><Relationship Id="rId163" Type="http://schemas.openxmlformats.org/officeDocument/2006/relationships/hyperlink" Target="https://www.facebook.com/watch/?v=703222203360863" TargetMode="External"/><Relationship Id="rId370" Type="http://schemas.openxmlformats.org/officeDocument/2006/relationships/hyperlink" Target="https://www.dailymail.co.uk/indiahome/indianews/article-3829726/Tantriks-sacrifice-owls-Activists-raise-alarm-illegal-sale-owls-Indian-rollers-Diwali.html" TargetMode="External"/><Relationship Id="rId829" Type="http://schemas.openxmlformats.org/officeDocument/2006/relationships/hyperlink" Target="https://www.hindustantimes.com/gurgaon/iraqi-doctor-held-for-throwing-puppies-from-the-eighth-floor/story-pPtKAiU7vJ5iuGIM2YloTK.html" TargetMode="External"/><Relationship Id="rId230" Type="http://schemas.openxmlformats.org/officeDocument/2006/relationships/hyperlink" Target="https://m.facebook.com/story.php?story_fbid=10156160582165633&amp;id=570915632" TargetMode="External"/><Relationship Id="rId468" Type="http://schemas.openxmlformats.org/officeDocument/2006/relationships/hyperlink" Target="https://www.jagran.com/haryana/panipat-the-case-of-dog-fight-satta-bazaar-busted-in-yamunanagar-19926247.html" TargetMode="External"/><Relationship Id="rId675" Type="http://schemas.openxmlformats.org/officeDocument/2006/relationships/hyperlink" Target="https://timesofindia.indiatimes.com/india/in-red-list-of-threatened-species-owls-massacred-on-diwali-for-luck/articleshow/66411500.cms" TargetMode="External"/><Relationship Id="rId882" Type="http://schemas.openxmlformats.org/officeDocument/2006/relationships/hyperlink" Target="https://www.facebook.com/vosd.in/photos/a.260420657335007/2860640430646337/?type=3&amp;__xts__%5B0%5D=68.ARCO3OlSpPqFtFfS7ITH6x8EkPw-lU8KveTWiJswisOScUB1LsyAPAugIckeDZa_N6ge4pD94XcJv5-gQpY8uke3b6jCC4Qi017i-B_X79pdN9GVCXsEiNUwKomfMuKgItzEyezYOeoeKO2VQKqAeA-zs3qi3dFgiJHjClQ_se4v6iqeFWoXRHqvXi5eBkkzhJH9L890n9jg1040YAlEWDkPgmcesKNXSiShGn8aDqJbP23_BxhOhpR2hVhcE2hq_YfzdfjBB5Bw1zZEyYGJdPU0GRUQZQkYssvu4VXllt8dKST-sIo_v9nCV38uYEn74HOJWotZFGSIx8p1Z1NGFT_qhg&amp;__tn__=-R" TargetMode="External"/><Relationship Id="rId25" Type="http://schemas.openxmlformats.org/officeDocument/2006/relationships/hyperlink" Target="https://www.facebook.com/pfakollam/videos/vb.840811579305912/569553150546464/?type=2&amp;theater" TargetMode="External"/><Relationship Id="rId328" Type="http://schemas.openxmlformats.org/officeDocument/2006/relationships/hyperlink" Target="https://www.instagram.com/p/BmJVWwAlaMh/" TargetMode="External"/><Relationship Id="rId535" Type="http://schemas.openxmlformats.org/officeDocument/2006/relationships/hyperlink" Target="https://www.hindustantimes.com/more-lifestyle/nobody-s-child-the-stray-dogs-of-the-city/story-9Mnnp4zfeY7HHEx5cxRjwN.html" TargetMode="External"/><Relationship Id="rId742" Type="http://schemas.openxmlformats.org/officeDocument/2006/relationships/hyperlink" Target="https://www.facebook.com/palak.verma.1656/posts/2229264513806108?__xts__%5B0%5D=68.ARAfZPcrtssiNgIcCMvpH9NiRTvLivOPlQMbkzc_CRORrD4SDMBYA357eqgeOulJx4ImCwltE8i8J3KrZcblDjc2d_IrxG3VpDV7leAw7_sBbhxjLBgM5thcMOVv83t13DxEhgpQij5KzjBWmbXlE1FM-gROuLgtB2ux16dYakl0EZgmEtadILCOd1axdDMMVw-TdDYKgLDf7R1mub15s6tnEfNlQdQVAk7SzG998hysTqlqNWTGCDc2y55AEPN2iNBmcJJmQmSZBzbeG3deWpGWCLYEu-wKlkBzkuR7yDVOgRtlo-WMMDgzysWG-lU43gbjE78B16DdrxU3KypUclQ&amp;__tn__=H-R" TargetMode="External"/><Relationship Id="rId174" Type="http://schemas.openxmlformats.org/officeDocument/2006/relationships/hyperlink" Target="https://m.facebook.com/story.php?story_fbid=2674998459183340&amp;id=100000196350641" TargetMode="External"/><Relationship Id="rId381" Type="http://schemas.openxmlformats.org/officeDocument/2006/relationships/hyperlink" Target="https://www.youtube.com/watch?v=B4zQRoUtS-I" TargetMode="External"/><Relationship Id="rId602" Type="http://schemas.openxmlformats.org/officeDocument/2006/relationships/hyperlink" Target="https://m.facebook.com/story.php?story_fbid=308898776262359&amp;id=100014267177915" TargetMode="External"/><Relationship Id="rId241" Type="http://schemas.openxmlformats.org/officeDocument/2006/relationships/hyperlink" Target="https://www.facebook.com/himani.gsingh/posts/10221889560017160?__xts__%5B0%5D=68.ARDyF7Whk9cJDqIp3NtAPyJ2N62jPQ5FWpLLzclCAYxGeH5U8XoMP23oxzgkgADvfDiQ6EegVYmB3uxyplEhsA2hfnwX2ULL-HZqfUSBjrqix7AVYpDpqhsDscaISgunw6BCSL_A0YY1jjxXkXEWt75_rIVcvLMvl4cT-p_AMYnDQFJzdRPvqV_kprhOupzDbkGg_O8R4fNpyT10Hg&amp;__tn__=H-R" TargetMode="External"/><Relationship Id="rId479" Type="http://schemas.openxmlformats.org/officeDocument/2006/relationships/hyperlink" Target="https://www.facebook.com/groups/PALThane/permalink/533511556697894/" TargetMode="External"/><Relationship Id="rId686" Type="http://schemas.openxmlformats.org/officeDocument/2006/relationships/hyperlink" Target="https://www.facebook.com/vikram.kochhar/posts/10156915745794444" TargetMode="External"/><Relationship Id="rId893" Type="http://schemas.openxmlformats.org/officeDocument/2006/relationships/hyperlink" Target="https://www.facebook.com/1490798644550799/posts/2325721454391843/?vh=e" TargetMode="External"/><Relationship Id="rId907" Type="http://schemas.openxmlformats.org/officeDocument/2006/relationships/hyperlink" Target="https://www.facebook.com/groups/1382277738753927/permalink/2524913197823703/" TargetMode="External"/><Relationship Id="rId36" Type="http://schemas.openxmlformats.org/officeDocument/2006/relationships/hyperlink" Target="https://www.facebook.com/hunny.raina.1/videos/3207362075958362/" TargetMode="External"/><Relationship Id="rId339" Type="http://schemas.openxmlformats.org/officeDocument/2006/relationships/hyperlink" Target="https://www.news18.com/news/india/animal-protection-groups-cry-foul-at-khatron-386350.html" TargetMode="External"/><Relationship Id="rId546" Type="http://schemas.openxmlformats.org/officeDocument/2006/relationships/hyperlink" Target="https://indianexpress.com/article/cities/pune/animal-cruelty-two-cases-registered-with-pune-police-3740611/" TargetMode="External"/><Relationship Id="rId753" Type="http://schemas.openxmlformats.org/officeDocument/2006/relationships/hyperlink" Target="https://www.dailypioneer.com/2019/page1/man-beats-dog-to-death-for-barking--arrested.html" TargetMode="External"/><Relationship Id="rId101" Type="http://schemas.openxmlformats.org/officeDocument/2006/relationships/hyperlink" Target="https://www.facebook.com/photo.php?fbid=1897063700551706&amp;set=a.1392226604368754&amp;type=3" TargetMode="External"/><Relationship Id="rId185" Type="http://schemas.openxmlformats.org/officeDocument/2006/relationships/hyperlink" Target="https://www.facebook.com/PrayasINDIA/posts/2327680207296627?__xts__%5B0%5D=68.ARAIFP845G0sDq8xzbjpEYwnC5TnihrdxpXsL-WpXGxcOgDFFljGL7pDB6yTRIvxV9q0Ddv7_b94twjxUNq3agOd8rU4P7kRLBf9FdhClbFmxs2xjy1drZb5d0L6nmlGUne6BdGTM--8g6dqK3PC0hr43G00H8jGDjT-CHXiiLkGEV89jFefgATqAWYMfb5celBtsKW0x30Fqf-Tt9Elv_kRzaomMKEeatv6M0hkhfDZp6BlI78ToaPXfKOuWAfl465axP6RFC-8BOnpDM50wevKqljXsAsrNlYmVWVmt-ctXPqoJTbBHOdhF23HmM-fXcLRBI-SC8828ghW3k53aQ3a7k2bmYhHH_WBREz2-DIOfRXHweTOopgSu-bdcbFL7ADnOSHdIeDEysrV7svZ2DegYkWWJUIfKn26lL3ejTfGdjYj5koBPAO17j9Cdhvc-4GJK2ni-ELjj6a8lCngW3cl9EL5mdRhzsFOyNhJs-sqUfP8eLyOkqXIFqt6wjEQZA&amp;__tn__=-R" TargetMode="External"/><Relationship Id="rId406" Type="http://schemas.openxmlformats.org/officeDocument/2006/relationships/hyperlink" Target="https://m.facebook.com/story.php?story_fbid=1944576568947791&amp;id=336779206394210" TargetMode="External"/><Relationship Id="rId960" Type="http://schemas.openxmlformats.org/officeDocument/2006/relationships/hyperlink" Target="https://timesofindia.indiatimes.com/city/shimla/miscreants-blow-off-cows-mouth-with-crackers-in-himachal-pradesh/articleshow/76229443.cms" TargetMode="External"/><Relationship Id="rId392" Type="http://schemas.openxmlformats.org/officeDocument/2006/relationships/hyperlink" Target="http://timesofindia.indiatimes.com/city/chandigarh/fir-over-alleged-bull-fight-at-fair/articleshow/60725218.cms" TargetMode="External"/><Relationship Id="rId613" Type="http://schemas.openxmlformats.org/officeDocument/2006/relationships/hyperlink" Target="https://www.hindustantimes.com/jaipur/eleven-langurs-brutally-killed-dumped-near-highway-in-rajasthan/story-uNawGPBbQod9KMDtU4FLpL.html" TargetMode="External"/><Relationship Id="rId697" Type="http://schemas.openxmlformats.org/officeDocument/2006/relationships/hyperlink" Target="https://m.facebook.com/story.php?story_fbid=2259608567382457&amp;id=100000000067963" TargetMode="External"/><Relationship Id="rId820" Type="http://schemas.openxmlformats.org/officeDocument/2006/relationships/hyperlink" Target="https://www.facebook.com/groups/1382277738753927/permalink/2409234572724900/" TargetMode="External"/><Relationship Id="rId918" Type="http://schemas.openxmlformats.org/officeDocument/2006/relationships/hyperlink" Target="https://www.facebook.com/groups/thepound/permalink/3809968182346986?sfns=mo" TargetMode="External"/><Relationship Id="rId252" Type="http://schemas.openxmlformats.org/officeDocument/2006/relationships/hyperlink" Target="https://www.facebook.com/kaveriranabhardwaj/posts/1023687564639320?__xts__%5B0%5D=68.ARD64jz7rGF3guQnZp_IeD1SPuqjGTQADi_onHqvmzTcqcTNuCDxYbPC5JbZ0D3iqEQrVcFgb0oBRpXMMqlrdxX4QXPdXZckmYvHYFyOUvrmRUWOxUIPypB8EU1-7N5_qt-84745H8uPscDJLnKZzT-zzPL3ttwNXfgnv7WYxqCqNdzszbNVKuBgsu6kMmwHdC6AYkkLcE-ZysQpU21wRjiHcjzcLk6DRf_IQdbGBOI_cvds7XUoE4jSuUpaHyTao_xq6DLMVAtg1zA-ydBZTiYYuAyqUHxOQVcdCD7dOB30G_IxmnfiaAqWP561EQZjO5f7_BHKl75bmP_FJEuHVYObXkMlPkPqX3xIEgnpBHcVOZyu7GheTAfka4_i6LnOJD80Z6bay5o5LJTKn5FD3mQqJpPeUO4duJralHWA3-HkEuUSXw&amp;__tn__=-R" TargetMode="External"/><Relationship Id="rId47" Type="http://schemas.openxmlformats.org/officeDocument/2006/relationships/hyperlink" Target="https://www.timesnownews.com/mirror-now/society/article/harassed-and-abused-for-their-love-towards-stray-animals-these-dog-lovers-are-searching-for-their-children/437436" TargetMode="External"/><Relationship Id="rId112" Type="http://schemas.openxmlformats.org/officeDocument/2006/relationships/hyperlink" Target="https://m.facebook.com/story.php?story_fbid=1696789500393167&amp;id=336779206394210" TargetMode="External"/><Relationship Id="rId557" Type="http://schemas.openxmlformats.org/officeDocument/2006/relationships/hyperlink" Target="https://www.indiatoday.in/mail-today/story/delhi-resident-dog-puppy-animal-cruelty-legs-choopped-off-hacksaw-356055-2016-12-07" TargetMode="External"/><Relationship Id="rId764" Type="http://schemas.openxmlformats.org/officeDocument/2006/relationships/hyperlink" Target="https://www.indiatoday.in/india/story/maharashtra-man-beats-puppy-to-death-for-entering-housing-complex-in-thane-1565674-2019-07-09" TargetMode="External"/><Relationship Id="rId971" Type="http://schemas.openxmlformats.org/officeDocument/2006/relationships/hyperlink" Target="https://timesofindia.indiatimes.com/videos/city/ahmedabad/barbaric-man-kills-pup-makes-video-of-his-killing-act/videoshow/76646547.cms" TargetMode="External"/><Relationship Id="rId196" Type="http://schemas.openxmlformats.org/officeDocument/2006/relationships/hyperlink" Target="https://www.instagram.com/p/BzHY-SGFIej/" TargetMode="External"/><Relationship Id="rId417" Type="http://schemas.openxmlformats.org/officeDocument/2006/relationships/hyperlink" Target="https://www.facebook.com/AnimalAidUnlimited/videos/10156555378263259/?__xts__%5B0%5D=68.ARCAE5d61kI9ppU7TO4FLyxiUskF8WtZvTbujjNmmOTMMIHKhAyNe8hL4meb8AJMm01Sopl_xgkS5RBDorVF-xiew6_M0MlbIxRHXx2wIAB_8JxsTJ-1FYTCzqZLcvK6-luRCrvD2y6sNzY3G--BgBRUUv5n0-5lbe1PArJYgFChySF8oqo6mGWrQYYPm9mO2holta1aEvt8tiEYEFe9zx3y4TW-7qrKrg0NRr7X0b2ljxO0_VCTzPOetQzkJ52N4fLzkPFkU2J9L9RhHkUzPJZ7bWZCE8SdnWPxAMRLCEMU94XLWFtcD0EpBd2lRaD8YI9KCMU0d8U0_wWwT5YAVfjK_mft5g&amp;__tn__=-R" TargetMode="External"/><Relationship Id="rId624" Type="http://schemas.openxmlformats.org/officeDocument/2006/relationships/hyperlink" Target="https://www.facebook.com/groups/thepound/permalink/2197046170305870/" TargetMode="External"/><Relationship Id="rId831" Type="http://schemas.openxmlformats.org/officeDocument/2006/relationships/hyperlink" Target="https://www.facebook.com/groups/MumbaiUnitedForStrays/permalink/593505318133229/" TargetMode="External"/><Relationship Id="rId263" Type="http://schemas.openxmlformats.org/officeDocument/2006/relationships/hyperlink" Target="https://www.facebook.com/groups/indiaanimalforum/permalink/2619083958173833/" TargetMode="External"/><Relationship Id="rId470" Type="http://schemas.openxmlformats.org/officeDocument/2006/relationships/hyperlink" Target="https://drive.google.com/file/d/1vQ1lHtLNZ4VmVvPzMBi62GWrgG46YT0M/view?usp=sharing" TargetMode="External"/><Relationship Id="rId929" Type="http://schemas.openxmlformats.org/officeDocument/2006/relationships/hyperlink" Target="https://www.facebook.com/groups/1382277738753927/permalink/2535001686814854/" TargetMode="External"/><Relationship Id="rId58" Type="http://schemas.openxmlformats.org/officeDocument/2006/relationships/hyperlink" Target="https://www.facebook.com/DogWithBlog/photos/a.513009608741889/672337956142386/?type=3&amp;__xts__%5B0%5D=68.ARDesrQslecdbUHrCHCEdf-VY8zcE87ZcfBMHEvvLwAdSnTwaU8KFcLqhvm88Afv-HR4UN6XBwEmPoXrQyYliL6QDKMzLVAR0tOKqpulGHeLZiMtVGfcZooq9uNW0ZJrojJ9aip-vNDuk9fF38DXd9HhwZrOc1PD0xHRsTPUOQo8W2Y_ixY8Q0z_Ci1qJyslFo_-ggnWDs4LH7OGLkcyzQgy2ufj2QBuAo5eZssRqqftJqmpiNBcB_vGJODcW-J5HLWg14twi735V50VdqxQhFOY03HVnfm7ukd-1H1H3qN_tm30c-FpJ8xOfhY&amp;__tn__=H-R" TargetMode="External"/><Relationship Id="rId123" Type="http://schemas.openxmlformats.org/officeDocument/2006/relationships/hyperlink" Target="https://m.facebook.com/story.php?story_fbid=1913133605425421&amp;id=336779206394210" TargetMode="External"/><Relationship Id="rId330" Type="http://schemas.openxmlformats.org/officeDocument/2006/relationships/hyperlink" Target="http://www.pfabihar.org.in/Rescue.htm" TargetMode="External"/><Relationship Id="rId568" Type="http://schemas.openxmlformats.org/officeDocument/2006/relationships/hyperlink" Target="https://www.thenewsminute.com/article/tn-farmers-delhi-hold-dead-snakes-mouth-day-16-protests-59474" TargetMode="External"/><Relationship Id="rId775" Type="http://schemas.openxmlformats.org/officeDocument/2006/relationships/hyperlink" Target="https://m.facebook.com/story.php?story_fbid=2324041834345709&amp;id=100002197453262" TargetMode="External"/><Relationship Id="rId428" Type="http://schemas.openxmlformats.org/officeDocument/2006/relationships/hyperlink" Target="https://www.facebook.com/AnimalAidUnlimited/photos/a.395406128258/10157180700863259/?type=3&amp;__xts__%5B0%5D=68.ARBBuhTzvCLwzhn9c4vE1s7RAtt1SmWVNeao2-Fz6YjPQuCw2O9wyXmmscnfBwV1V5gIHGgGquBdWeZVGnEM_9IUti1Z-R3HUMzlApL3vHiOZ7GNYkElZIz9RO_7_5bfaC3HNINgt0paxmPbJgc_0pz07VCT0vGqUDsvqpdZBoWTJDxlTNHcOjVcRPaeKtdr8AKYoAmMKImlHxyP_rGyyKSpL-tJOoeV6vu1TeV0iic4pbr99VWb5JBzG2OMJc2slO-66pezcn__q_imYGleLBFwztgUoQV-rnZJm61JsJvcj0e577H2yGhdMoiAAkmDxUQ9hAT3YPBgtnhywk0g&amp;__tn__=-R" TargetMode="External"/><Relationship Id="rId635" Type="http://schemas.openxmlformats.org/officeDocument/2006/relationships/hyperlink" Target="https://www.facebook.com/groups/thepound/permalink/2161809130496241?sfns=mo" TargetMode="External"/><Relationship Id="rId842" Type="http://schemas.openxmlformats.org/officeDocument/2006/relationships/hyperlink" Target="https://www.facebook.com/PrayasINDIA/posts/2742530159144961?__xts__%5B0%5D=68.ARCjIm_URxVXJf4AGngvry4Begw5CPyUSQAIn0eoQXUDIx0RevRWr8SI0J7hHaWNigqXvrdxmQzlFTg8Hm2t6KRSrzlBFxGk5hrCHz4oN73rbAiR1jitIhKKKZUcb2VbUINZF2FoMFjRZCFZRJJnNgGOCSrTmRpgcu5FrX-UCpaBGFSPMdNcsWmUD74m2OrRRj1_AH74AEilNUdhjw62mtr-UprcDau2WjDzKnMo1Ku608JDQPYO5wwUiMggB0QdpgUe7b9bZq_BA_u1QXy0b78gwbhuuXIgJho6zWlgohKCwZWNiVVDOBOeqZhQLKMmD8BbpaLgtclTHgJpABQrVQOSOw&amp;__tn__=-R" TargetMode="External"/><Relationship Id="rId274" Type="http://schemas.openxmlformats.org/officeDocument/2006/relationships/hyperlink" Target="https://www.facebook.com/photo.php?fbid=10215745246014584&amp;set=a.1647514718185&amp;type=3&amp;__xts__%5B0%5D=68.ARDD-LPVsaA2WHBvNjbEORoQ4Dyuny9W0TVioUYzZZKo_oTSK97ZayfrLohtSWLwnb3jBylc2h-pPeKAm36nPQ1quSVrMDo1m6T6lJeUnVUeqYq0K4IHk31DX6PXjFwaDM7TTh1K0P21d6PwZLTlhnIXUiBHLoGsr0lqx-aZRNFcjA3xMqCAEy62-oEhbF57D7tHz8dwrmnQR9whRMS7NJG_rkT5K-PkrvXpziXklHUrzDKfGBo-QVGUu_3AQsQoHZjOAw7SwcHi5jOix-mmcHqMByrWxtA&amp;__tn__=-R" TargetMode="External"/><Relationship Id="rId481" Type="http://schemas.openxmlformats.org/officeDocument/2006/relationships/hyperlink" Target="https://www.newindianexpress.com/states/odisha/2014/apr/21/27-Bullocks-Rescued-from-Howrah-bound-Train-602860.html" TargetMode="External"/><Relationship Id="rId702" Type="http://schemas.openxmlformats.org/officeDocument/2006/relationships/hyperlink" Target="https://m.facebook.com/story.php?story_fbid=972899202910567&amp;id=100005714887443" TargetMode="External"/><Relationship Id="rId69" Type="http://schemas.openxmlformats.org/officeDocument/2006/relationships/hyperlink" Target="https://www.facebook.com/wag.india/posts/461425544040506" TargetMode="External"/><Relationship Id="rId134" Type="http://schemas.openxmlformats.org/officeDocument/2006/relationships/hyperlink" Target="https://www.facebook.com/groups/indiaanimalforum/permalink/1773188819430022/" TargetMode="External"/><Relationship Id="rId579" Type="http://schemas.openxmlformats.org/officeDocument/2006/relationships/hyperlink" Target="https://www.facebook.com/PrayasINDIA/posts/1470407913023865?__xts__%5B0%5D=68.ARALWA8ToCA18T61S3ktYNYzqLU6FJYQlf9xlupevjdwx-Maqe8gYfOwt3ZHi-bfFaIDuhvEiAw-8J2-jkeFn06nzHzGX_G39qH_Ou6Q-sxHh8x8SFkZAilImgGVbyrmCYDwcj7NteWxeh9NunRCJSEc4zlyT3pA93Hrp9plsolUo3lO5cL10vslz7x5QTA8AGnXJLDVhUVe6BQ_fW9XhY5Bsw_euUMQ90OmaApcNvTPo-dd2vwSZp9GUTsntSK4eL3XeVRk0ajgq8e6KUS3hLZmRMxaXr1tJ6h1a_oN1CNP280TqcDMtTp4dBfjhwlPqPJLndf8568ibIIJNOkkOAm6Mw&amp;__tn__=-R" TargetMode="External"/><Relationship Id="rId786" Type="http://schemas.openxmlformats.org/officeDocument/2006/relationships/hyperlink" Target="https://www.facebook.com/332058007498381/posts/400595173977997/?vh=e" TargetMode="External"/><Relationship Id="rId341" Type="http://schemas.openxmlformats.org/officeDocument/2006/relationships/hyperlink" Target="http://indiasendangered.com/why-owls-of-india-do-not-like-diwali/" TargetMode="External"/><Relationship Id="rId439" Type="http://schemas.openxmlformats.org/officeDocument/2006/relationships/hyperlink" Target="https://ahmedabadmirror.indiatimes.com/ahmedabad/cover-story/stop-this-cruelty-now/articleshow/70707759.cms" TargetMode="External"/><Relationship Id="rId646" Type="http://schemas.openxmlformats.org/officeDocument/2006/relationships/hyperlink" Target="https://www.timesnownews.com/mirror-now/society/article/shocking-visual-of-merciless-trafficker-torturing-elephants-in-jaipur-goes-viral/239966" TargetMode="External"/><Relationship Id="rId201" Type="http://schemas.openxmlformats.org/officeDocument/2006/relationships/hyperlink" Target="https://www.facebook.com/animalwelfareassociationofpanchkula/posts/2502431633317798?__xts__%5B0%5D=68.ARCJYQWY5_l3kP7B1LHvQJNOQ-E8FIrUsQkm6MROC_HRTDyeJr6zU7hycBH8vwq9O_aQ29iyK4C9XxU15jUIuTC1fY-v9rJGInrgswzSnNkro0CEwWSJhNt3E0fXjR5W1aa4hH2lBdOsZoI1ckP85GCRoJupL7Xm4lScWexPIJ_LLoTj7lr7UJvmXPsg69YydA5IB2vt2MUcHl6iArXyZgUv8rPWcrxZLEFxWtWMAXdhr2sM5r3rEU0phW6ylJCeLSLntVc2aCS3Pc7ndhQtuJ0aaTpk5g8-y7FsIL73MDE9KXHehDSUL-x1MP91M165BU9LpfUsyiU2JIljWz3jByuVqfhi&amp;__tn__=-R" TargetMode="External"/><Relationship Id="rId285" Type="http://schemas.openxmlformats.org/officeDocument/2006/relationships/hyperlink" Target="https://www.facebook.com/pawsforacausencr/posts/1647196175423661?__xts__%5B0%5D=68.ARD4P-_tzeC30JKS9hOhutJcdtA2TrKvJAy6MOUsWa2kk9GykoSxhTlEv4FdWr3KlRXCIFAJ1Pq3Tvv-JaLlqymLr7szKuWZ4UmEOKbA0YEsr7Rpn5s2eMCh5m9WlfXGCTgbnC-cWIGlGAxDalUBHDMklTHzmzIdPfd6yjVucdquyPvT7Ck1SrM16VsV45dyiG91Pgy9ma-SlE8sQ2MUWEi0GuQWwe4noZ824w4pW0YSgLdcOSsqURU5cLneSNOD74VYvJbb9T3fqQ5IHB4wbi5mreCml4GE841SP-R73IcwwdyXzYH-EEhV7AghQwADNK2_&amp;__tn__=H-R" TargetMode="External"/><Relationship Id="rId506" Type="http://schemas.openxmlformats.org/officeDocument/2006/relationships/hyperlink" Target="https://www.facebook.com/groups/indiaanimalforum/permalink/959066417508937/" TargetMode="External"/><Relationship Id="rId853" Type="http://schemas.openxmlformats.org/officeDocument/2006/relationships/hyperlink" Target="https://www.facebook.com/groups/thepound/permalink/3652498024760670/" TargetMode="External"/><Relationship Id="rId492" Type="http://schemas.openxmlformats.org/officeDocument/2006/relationships/hyperlink" Target="https://m.facebook.com/story.php?story_fbid=10153651982533259&amp;id=265906613258" TargetMode="External"/><Relationship Id="rId713" Type="http://schemas.openxmlformats.org/officeDocument/2006/relationships/hyperlink" Target="https://timesofindia.indiatimes.com/city/gurgaon/two-arrested-for-killing-stray-granted-bail/articleshow/67648874.cms" TargetMode="External"/><Relationship Id="rId797" Type="http://schemas.openxmlformats.org/officeDocument/2006/relationships/hyperlink" Target="https://www.facebook.com/story.php?story_fbid=145153116726332&amp;id=100036949339564" TargetMode="External"/><Relationship Id="rId920" Type="http://schemas.openxmlformats.org/officeDocument/2006/relationships/hyperlink" Target="https://www.facebook.com/1801668150060567/posts/2835688326658539/?vh=e&amp;d=n" TargetMode="External"/><Relationship Id="rId145" Type="http://schemas.openxmlformats.org/officeDocument/2006/relationships/hyperlink" Target="https://www.facebook.com/groups/indiaanimalforum/permalink/1852525648163005/" TargetMode="External"/><Relationship Id="rId352" Type="http://schemas.openxmlformats.org/officeDocument/2006/relationships/hyperlink" Target="http://www.thehindu.com/news/cities/Madurai/tarot-readers-in-madurai-survive-on-curious-visitors/article5044323.ece" TargetMode="External"/><Relationship Id="rId212" Type="http://schemas.openxmlformats.org/officeDocument/2006/relationships/hyperlink" Target="https://www.facebook.com/animalwelfareassociationofpanchkula/videos/1293280080850739/?__xts__%5B0%5D=68.ARB7ut8rFC8f5THK62cAINZOkcyMaUb0KYu5-80w9b7A8PT_QJHg7BImfgr2BCiMkiVOdO-ztYZpL1Jry4muZHb7bj-rkt33H2xBtrDriSAHsPecYATcJVG3bimYn5VB-qouuktEpivL1_EnWQtsXLjcFGH3o7hjAkh3hkW89wN4XlQXMpbeCOO_QdT29PztZYqcDKEWYnzqGICIFNjoZZReXaG1y5vilxUrwCGndMI1TWrGJmeCTppvB_tPBYvQEv6Q5VAojUE6S5nD1bLFGf_1V4uzbFVm8w_3S7XUNfR9D4AtJT5qaz-vSEHPKt4e0U00kbcUOJU3rMV5YoTspYzWJ2nZ4cqWQ19mFjoS&amp;__tn__=-R" TargetMode="External"/><Relationship Id="rId657" Type="http://schemas.openxmlformats.org/officeDocument/2006/relationships/hyperlink" Target="https://www.facebook.com/HIS.Jaipur/posts/2089223081149805?__xts__%5B0%5D=68.ARBsYHcw1hP6soU6ud0DxBa1D4sgaC4ylDQ0GpPovxozj4ZLDbENj0N8A-HKuIDKS7BS-10EeVTjOHlc6goMp3eV_t9OSCL6FPHUX-0cjqEi4cFTqV-2FpU1xi2YP8hyIhzJuLIGZl19ba-qpGYsBRz4jYsjPGG6HVtEzcU9Ns0UV7x0_67YEcFiEvloPCxyrn12G4aFwiTMOWPd0gP1GiLM70EtG4cb1jZphuZ7zgnucBWkNq5vtToBfH7KakJEOtnGjCXzo3CXx7bAxWuR-E5sgBfHjYqOTsVMbhmXXJ-48c8PQ7kg7Ab-VdJ3xh3gzWsopCxfl-K7RLmMSxDaV5CEaQ&amp;__tn__=-R" TargetMode="External"/><Relationship Id="rId864" Type="http://schemas.openxmlformats.org/officeDocument/2006/relationships/hyperlink" Target="https://www.facebook.com/kannananimalwelfare/posts/2391937364245114?__xts__%5B0%5D=68.ARBxPcwxCZOd4eLm4RqnPebglUzwLaSpC7U2hWtLCq3sYRuaITNW04rknvyh-W-VSBVcFQQMvJkjYSo63E8Alx_ZIkWKswe71MfkokVXbC_ZbX0jV2u2U37KQnLhNYmpdPZveS6-7ftYozv9LCVKCm7hSL0Vjrcy34BcGNotSncw7uGdwgyhKSM_dxdLiR-IAgwPjdOLKSe56hm92XJgaGCAJVK2ypU4sKH6EcKcWpmPR-ebA9AACZ4sVyxT0X6Z2avEtxMxIQ3iyBofuKV4Dw1L2a8D8VtnMN7nEBU1g5NXRPoVv_-RrJoSaTAUpTZ2qfJYlwee3HxXn6lMpeGUWmh2-w&amp;__tn__=-R" TargetMode="External"/><Relationship Id="rId296" Type="http://schemas.openxmlformats.org/officeDocument/2006/relationships/hyperlink" Target="https://www.facebook.com/groups/355493465008889/permalink/602894470268786/?__xts__%5B0%5D=68.ARBHWHAdgc7RMPY-Hq_Cw9FwvGsGsu0KL4HU93nHRzTslJG50iRPqacppFf-7L8iD7BMB7oCo0IrBvhFxzJP7RGHmFbyoH03IuoQt8NJIbqFew_IoNwlReSg7s1HD87r3WGEm1XSINzBacL93w7iSlAIQ0O73Q4ssHcAC27E9rnAgcLG8FcBlFEQweLqnojCyt-79JlyWdT3MW-CyjnX7bciZ1PHobE5wq8x8OCSQtStLHFOXYtgTozvxMoh5t05b5J6ATUaUdRPyhJGTL0G9Q2K-fXggqu9hj-pjr_dr6gdb62vqdp12WAPmc2lMh_ImTo&amp;__tn__=-R" TargetMode="External"/><Relationship Id="rId517" Type="http://schemas.openxmlformats.org/officeDocument/2006/relationships/hyperlink" Target="https://m.facebook.com/story.php?story_fbid=10154218575303259&amp;id=265906613258" TargetMode="External"/><Relationship Id="rId724" Type="http://schemas.openxmlformats.org/officeDocument/2006/relationships/hyperlink" Target="https://timesofindia.indiatimes.com/city/chandigarh/stray-dog-beaten-to-death-cops-yet-to-take-action/articleshow/68054899.cms" TargetMode="External"/><Relationship Id="rId931" Type="http://schemas.openxmlformats.org/officeDocument/2006/relationships/hyperlink" Target="https://www.facebook.com/groups/help.animals.birds/permalink/2559343347655160/" TargetMode="External"/><Relationship Id="rId60" Type="http://schemas.openxmlformats.org/officeDocument/2006/relationships/hyperlink" Target="https://www.facebook.com/groups/goapetlife/permalink/1884312101668743/" TargetMode="External"/><Relationship Id="rId156" Type="http://schemas.openxmlformats.org/officeDocument/2006/relationships/hyperlink" Target="https://m.facebook.com/story.php?story_fbid=10157222428616807&amp;id=593321806" TargetMode="External"/><Relationship Id="rId363" Type="http://schemas.openxmlformats.org/officeDocument/2006/relationships/hyperlink" Target="http://timesofindia.indiatimes.com/city/kozhikode/Case-of-burning-pigeons-at-standstill-despite-AWBI-intervention/articleshow/50262101.cms" TargetMode="External"/><Relationship Id="rId570" Type="http://schemas.openxmlformats.org/officeDocument/2006/relationships/hyperlink" Target="https://m.facebook.com/story.php?story_fbid=10158552950924498&amp;id=614249497" TargetMode="External"/><Relationship Id="rId223" Type="http://schemas.openxmlformats.org/officeDocument/2006/relationships/hyperlink" Target="https://www.facebook.com/groups/goapetlife/permalink/2159773874122563/" TargetMode="External"/><Relationship Id="rId430" Type="http://schemas.openxmlformats.org/officeDocument/2006/relationships/hyperlink" Target="https://milaap.org/fundraisers/support-pfa-uttarakhand" TargetMode="External"/><Relationship Id="rId668" Type="http://schemas.openxmlformats.org/officeDocument/2006/relationships/hyperlink" Target="https://www.facebook.com/groups/PALThane/permalink/1924879450894424/" TargetMode="External"/><Relationship Id="rId875" Type="http://schemas.openxmlformats.org/officeDocument/2006/relationships/hyperlink" Target="https://www.facebook.com/savethetigerindia/videos/176262593586817/?__xts__%5B0%5D=68.ARCa9stwxCIxYYjNsOBG5oB0Xf1jG89MKRukf5nMMzZPspiOO148Dw99mZpAeINa_ctt3L9dyFF_G17g7kUVGtIVbUjV8AilWkRcqPK3Rb2RP_uc3XxyAFFYIzvqknUKDsQaXgneU1n1z4deDFAxGQ8OT1enLWL2eaciu649ZltwA2zX6xXJ02pETSRY5FQ8HEElAjhc4NLGNXK5FRDS8HPkWYuOp6xCc4QQpoUstlUGd_PiIzgNsNTYwWYoJIoMYNiOF4f77gFvZ-IDiWE2E0YWUJNAWClLukS-Sh_aY-Q6G_BIo-H7bs3wbWnC8rqfTNb-6bPpQQ&amp;__tn__=H-R" TargetMode="External"/><Relationship Id="rId18" Type="http://schemas.openxmlformats.org/officeDocument/2006/relationships/hyperlink" Target="https://www.facebook.com/groups/indiaanimalforum/permalink/1571875296228043/" TargetMode="External"/><Relationship Id="rId528" Type="http://schemas.openxmlformats.org/officeDocument/2006/relationships/hyperlink" Target="https://www.hsi.org/news-media/nagaland-india-dog-meat-trade/" TargetMode="External"/><Relationship Id="rId735" Type="http://schemas.openxmlformats.org/officeDocument/2006/relationships/hyperlink" Target="https://indianexpress.com/article/cities/chandigarh/punjab-four-puppies-burnt-alive-in-fire-to-clean-plot-of-wild-growth-one-booked-5651871/" TargetMode="External"/><Relationship Id="rId942" Type="http://schemas.openxmlformats.org/officeDocument/2006/relationships/hyperlink" Target="https://www.facebook.com/teampnpb/videos/387834205448194/" TargetMode="External"/><Relationship Id="rId167" Type="http://schemas.openxmlformats.org/officeDocument/2006/relationships/hyperlink" Target="https://www.facebook.com/groups/PALThane/permalink/2868485119867181/" TargetMode="External"/><Relationship Id="rId374" Type="http://schemas.openxmlformats.org/officeDocument/2006/relationships/hyperlink" Target="https://www.ilo.org/wcmsp5/groups/public/---ed_norm/---declaration/documents/publication/wcms_542925.pdf" TargetMode="External"/><Relationship Id="rId581" Type="http://schemas.openxmlformats.org/officeDocument/2006/relationships/hyperlink" Target="https://www.instagram.com/p/BWqOQAYg3db/?utm_source=ig_web_copy_link" TargetMode="External"/><Relationship Id="rId71" Type="http://schemas.openxmlformats.org/officeDocument/2006/relationships/hyperlink" Target="https://www.facebook.com/abhinav.srihan/posts/10153189729832120" TargetMode="External"/><Relationship Id="rId234" Type="http://schemas.openxmlformats.org/officeDocument/2006/relationships/hyperlink" Target="https://www.facebook.com/annu.sahni.37/posts/2414225268835544" TargetMode="External"/><Relationship Id="rId679" Type="http://schemas.openxmlformats.org/officeDocument/2006/relationships/hyperlink" Target="https://timesofindia.indiatimes.com/city/nagpur/sharpshooters-son-may-land-in-trouble-for-shooting-t1/articleshow/66491046.cms" TargetMode="External"/><Relationship Id="rId802" Type="http://schemas.openxmlformats.org/officeDocument/2006/relationships/hyperlink" Target="https://m.facebook.com/story.php?story_fbid=1158964150970737&amp;id=100005714887443" TargetMode="External"/><Relationship Id="rId886" Type="http://schemas.openxmlformats.org/officeDocument/2006/relationships/hyperlink" Target="https://www.facebook.com/pragati.khanna.50/videos/1293693767497774/?__xts__%5B0%5D=68.ARC_6eQDd2ETKWnTyD8Pmfsugq7GvhG2xUIc9ZUjWQPRmpPiTx2R35t7kcxNH-c8Ixk_VjUUPNKaoDMtidjiCFgD8zW0kvMpreoizFUfgcuEbkG9Od_rH0Oaj5npRP9SyVoTziSJ0fqTXAZ0jLRk2SwrFBPzZ5dmavMmBfmYNYbSYtu-eTWUeUzddvMv4quQdOSayTWsumIUWjXw5USCSX_GjYhNyKkA7_bJcybrVOPxITrH4zKDSJlvfEv9iALoWeZPI8bQVEW07tDdmNkGsXU1DOefrJMVsXj5rLHP1xs5JnZzAg&amp;__tn__=-R" TargetMode="External"/><Relationship Id="rId2" Type="http://schemas.openxmlformats.org/officeDocument/2006/relationships/hyperlink" Target="https://www.telegraphindia.com/states/north-east/n-e-lawyer-saves-dogs-from-torture-shillong-resident-takes-up-animal-cause/cid/423146" TargetMode="External"/><Relationship Id="rId29" Type="http://schemas.openxmlformats.org/officeDocument/2006/relationships/hyperlink" Target="https://timesofindia.indiatimes.com/city/jaipur/over-50-stray-dogs-shot-dead-in-bikaner-village/articleshow/68402464.cms" TargetMode="External"/><Relationship Id="rId441" Type="http://schemas.openxmlformats.org/officeDocument/2006/relationships/hyperlink" Target="https://www.indiatoday.in/mail-today/story/grotesque-killing-owls-for-diwali-good-luck-1613212-2019-10-27" TargetMode="External"/><Relationship Id="rId539" Type="http://schemas.openxmlformats.org/officeDocument/2006/relationships/hyperlink" Target="https://www.instagram.com/p/BJdb4E9BLM_/?utm_source=ig_web_copy_link" TargetMode="External"/><Relationship Id="rId746" Type="http://schemas.openxmlformats.org/officeDocument/2006/relationships/hyperlink" Target="https://m.facebook.com/story.php?story_fbid=1057051704495316&amp;id=100005714887443" TargetMode="External"/><Relationship Id="rId178" Type="http://schemas.openxmlformats.org/officeDocument/2006/relationships/hyperlink" Target="https://www.facebook.com/VOVHYD/videos/369872633640340/?__xts__%5B0%5D=68.ARBt9P4AmHkk8V0O1HeA6kxTTXRDnHIYe1umTiseoz-l6-3CL-Il_abqxP3Th1Q5ZjFaDjr0fVmDGUfxSn5V25K38UfINQ4A-5Zpr9sJ8uGfHfLjcjije94GIJ_PsoZ2qT113e5k9HuBK3AFBZfKJKohbdk4rL-IvYEYx1zzaY_N7eVJGOW-7MibgXrE7s-cLBMpRLNjlKSvZPkbVImu_Z_rOmAVO0Bm32RcA9ZdrcLkbw1NqCFEh9s_eCZZIGn6BqDYdEZLX4G3b5EoysoFmX86x_h0KYETg23dqXK3FZ2fMZWm3Z390gqNTBPLl4Aq02-sZGzBZhSIG4xtOv6JcdR60bUeLbjModg82w&amp;__tn__=-R" TargetMode="External"/><Relationship Id="rId301" Type="http://schemas.openxmlformats.org/officeDocument/2006/relationships/hyperlink" Target="https://www.facebook.com/urvashi.emanual/posts/2681335518623916" TargetMode="External"/><Relationship Id="rId953" Type="http://schemas.openxmlformats.org/officeDocument/2006/relationships/hyperlink" Target="https://www.storypick.com/bitch-teat-sucker-boy/" TargetMode="External"/><Relationship Id="rId82" Type="http://schemas.openxmlformats.org/officeDocument/2006/relationships/hyperlink" Target="https://www.facebook.com/groups/indiaanimalforum/permalink/1032812866800958/" TargetMode="External"/><Relationship Id="rId385" Type="http://schemas.openxmlformats.org/officeDocument/2006/relationships/hyperlink" Target="https://scroll.in/article/841373/wildlife-officials-crack-down-on-traders-selling-monitor-lizard-genitals-online" TargetMode="External"/><Relationship Id="rId592" Type="http://schemas.openxmlformats.org/officeDocument/2006/relationships/hyperlink" Target="https://m.facebook.com/story.php?story_fbid=1669759439762840&amp;id=336779206394210" TargetMode="External"/><Relationship Id="rId606" Type="http://schemas.openxmlformats.org/officeDocument/2006/relationships/hyperlink" Target="https://m.facebook.com/story.php?story_fbid=1773328942739222&amp;id=336779206394210" TargetMode="External"/><Relationship Id="rId813" Type="http://schemas.openxmlformats.org/officeDocument/2006/relationships/hyperlink" Target="https://www.facebook.com/groups/indiaanimalforum/permalink/2471980766217487/" TargetMode="External"/><Relationship Id="rId245" Type="http://schemas.openxmlformats.org/officeDocument/2006/relationships/hyperlink" Target="https://m.facebook.com/story.php?story_fbid=2301626566614286&amp;id=100003008966577" TargetMode="External"/><Relationship Id="rId452" Type="http://schemas.openxmlformats.org/officeDocument/2006/relationships/hyperlink" Target="https://www.facebook.com/permalink.php?story_fbid=1027368050976696&amp;id=100011105310130" TargetMode="External"/><Relationship Id="rId897" Type="http://schemas.openxmlformats.org/officeDocument/2006/relationships/hyperlink" Target="https://www.facebook.com/groups/thepound/permalink/3778456722164799?sfns=mo" TargetMode="External"/><Relationship Id="rId105" Type="http://schemas.openxmlformats.org/officeDocument/2006/relationships/hyperlink" Target="https://m.facebook.com/99Barkville/photos/a.795319193955974/840370509450842/?type=3" TargetMode="External"/><Relationship Id="rId312" Type="http://schemas.openxmlformats.org/officeDocument/2006/relationships/hyperlink" Target="https://www.facebook.com/kannananimalwelfare/photos/a.678417988930402/2440807782691405/?type=3&amp;__xts__%5B0%5D=68.ARAm_Im3ua-lWmdX2LNfQoSsZPtT_OUDrFzdZL96PrT2RIIh-4_7mEDLY0XNzUCn_OTZ6kzo8e1sWUlFs0H9nldFY4KyAAOycYeLuVBUoqa0YJ4sQweJgI88zK6HKpdqGq5M90sCmegqY79fZbL0BkcGGfpZPwiU9Z7Td-mSq67PdUruvlR02CR6XAPcFqgKgriGHJeDJkbvPFEm_UYuM236tEbkWiEcaUBjaulmTEUilWHOWlFwc4Q_zDRhLDm8-QaOJg9jVnV_fCPNbJZaayMxUfKRHnGDLOCk4D3HUHQofqAFmNJxMur7b-4LqhuT66NE775mrQhO4BGPB2QygIlI_g&amp;__tn__=-R" TargetMode="External"/><Relationship Id="rId757" Type="http://schemas.openxmlformats.org/officeDocument/2006/relationships/hyperlink" Target="https://nenow.in/north-east-news/after-feasting-on-elephant-people-of-mizoram-vilified-for-trying-to-slaughter-36-dogs.html" TargetMode="External"/><Relationship Id="rId964" Type="http://schemas.openxmlformats.org/officeDocument/2006/relationships/hyperlink" Target="https://www.theyouth.in/2020/03/12/shocking-incident-kerala-man-brutally-rapes-calf-tortures-it-to-death/" TargetMode="External"/><Relationship Id="rId93" Type="http://schemas.openxmlformats.org/officeDocument/2006/relationships/hyperlink" Target="https://m.facebook.com/story.php?story_fbid=1048594742007679&amp;id=100005714887443" TargetMode="External"/><Relationship Id="rId189" Type="http://schemas.openxmlformats.org/officeDocument/2006/relationships/hyperlink" Target="https://www.facebook.com/groups/goapetlife/permalink/2123252414441376/" TargetMode="External"/><Relationship Id="rId396" Type="http://schemas.openxmlformats.org/officeDocument/2006/relationships/hyperlink" Target="https://m.facebook.com/story.php?story_fbid=1888375327856453&amp;id=187854877908515" TargetMode="External"/><Relationship Id="rId617" Type="http://schemas.openxmlformats.org/officeDocument/2006/relationships/hyperlink" Target="https://www.facebook.com/groups/thepound/permalink/2071439109533244?sfns=mo" TargetMode="External"/><Relationship Id="rId824" Type="http://schemas.openxmlformats.org/officeDocument/2006/relationships/hyperlink" Target="https://www.hsi.org/news-media/2019-gadhimai-festival-animal-sacrifice-crackdown/" TargetMode="External"/><Relationship Id="rId256" Type="http://schemas.openxmlformats.org/officeDocument/2006/relationships/hyperlink" Target="https://www.facebook.com/groups/goapetlife/permalink/2205574539542496/" TargetMode="External"/><Relationship Id="rId463" Type="http://schemas.openxmlformats.org/officeDocument/2006/relationships/hyperlink" Target="https://twitter.com/ParveenKaswan/status/1264483844624912384?s=08" TargetMode="External"/><Relationship Id="rId670" Type="http://schemas.openxmlformats.org/officeDocument/2006/relationships/hyperlink" Target="https://www.facebook.com/permalink.php?story_fbid=1158721467619536&amp;id=1088149218010095&amp;__xts__%5B0%5D=68.ARAMhGCBLRL_3YYruaIW0Sd5MIpuChEANvkxxnEn9rzUm7315R1W3HLZaRNxn3XUFy-rui_Urt-TWba6jHqcffEtIUhEVkSKur2LNGCAW8IocfmLjpgW0t4oAH9rHZq0gz2Q_gF7K4Uu_E8Yz-u1plGP6ir7xAvDuvWJ14Khw6IUBR2IarqJj0GY9NL_j0Z1yAxed4qonKyShofMa3u2zXlVlFhnyNfA8U5Htu4VfQ90xOYEql1VvOv6laHzv1hhHkBt8aRzKDuutGCACmdoN6hidr_ORhrLb_FBXlMOB8mLLBI0x_CbZLN5slUtCHHxMP4YYaQx0DcwfBgvQAdXN6BSqK-Q&amp;__tn__=-R" TargetMode="External"/><Relationship Id="rId116" Type="http://schemas.openxmlformats.org/officeDocument/2006/relationships/hyperlink" Target="https://www.facebook.com/SMARTSANCTUARY/videos/168466607101790/?__xts__%5B0%5D=68.ARBOvzTukUdP_A3VcsFwPYWOR9_hySiOPQUhxP12sIPd5_7l_IA1ttPJqTqGAhKmeI-C8eLCBDOuubwrBfIc8EDueNXw6SbHaMorQgS856d0107NWPEI9NO-IFgCMip0BQ08Ac92iY1bDam_JJsMLl7NZatqZCQljcm1TRxdk720QdmQqpbAtu7-xRwI0_Fhw7DAaAF9sRGv2gEBhRHqN9eb8R3ao41hci0qoao23Ppd5sZlLlw1XAJoUEeMu56Q8GkymH-0MGjbrzGhOZ_45um5v9zvyIyFbAirB6C-LHT4oNSUmtekgTvmi9jccKUFuJWGQXLUsFqPbuHEVmvINEtvW9pHD1vpcmaPKj_GNqjvTZ6r4rkQvEZ5RCyDp38UGu_e76hoB3GXA7XKVl0jSniddi4s1CS8a8yyGLtIi4FfwGBTqe0NPcAGZA&amp;__tn__=H-R" TargetMode="External"/><Relationship Id="rId323" Type="http://schemas.openxmlformats.org/officeDocument/2006/relationships/hyperlink" Target="https://www.facebook.com/groups/sgacc/permalink/2815078468558032/" TargetMode="External"/><Relationship Id="rId530" Type="http://schemas.openxmlformats.org/officeDocument/2006/relationships/hyperlink" Target="https://zeenews.india.com/news/chennai/bhadra-chennai-dog-who-was-thrown-off-from-roof-gets-a-new-home_1929542.html" TargetMode="External"/><Relationship Id="rId768" Type="http://schemas.openxmlformats.org/officeDocument/2006/relationships/hyperlink" Target="https://timesofindia.indiatimes.com/videos/news/odisha-snake-helpline-rescues-cobra-after-villagers-put-a-sharp-spear-through-it/videoshow/70207399.cms" TargetMode="External"/><Relationship Id="rId20" Type="http://schemas.openxmlformats.org/officeDocument/2006/relationships/hyperlink" Target="https://www.indiatvnews.com/news/india-100-monkeys-die-in-uttar-pradesh-viscera-sent-for-tests-435155" TargetMode="External"/><Relationship Id="rId628" Type="http://schemas.openxmlformats.org/officeDocument/2006/relationships/hyperlink" Target="https://www.facebook.com/PrayasINDIA/posts/1748028288595158?__xts__%5B0%5D=68.ARCImbB51JFy0koWr33vpMFFp1TLmfesQNBjpi17yQ0xRIABFe_E8_qjuQRndOYun7rMZUWzj9vkqIkI-ejvAi7U1zPFERKpMYzEZr5B5beo2R_CSJjdOtMeyHRSQf59uh4EEu1JFhDICYRsm2qopBKF-k_337kl4BrUNDBjqs7GxCa2Ad2ltp6WvpiBx24wWXeWMbO8goT0hly3-B46DtzxIzQdhZs1-UIoiVQflPAixWit5lAmFVTHzM-X-Ifysjik4jkTfimPu38KBUjBSzNv2mROgUGlmUOETaNRE5WOZds82tcP6Lz_ltDde7f_AGCheTocD1bCd-BZk4Q6pVcedw&amp;__tn__=-R" TargetMode="External"/><Relationship Id="rId835" Type="http://schemas.openxmlformats.org/officeDocument/2006/relationships/hyperlink" Target="https://www.facebook.com/groups/PALThane/permalink/2638960209486341/" TargetMode="External"/><Relationship Id="rId267" Type="http://schemas.openxmlformats.org/officeDocument/2006/relationships/hyperlink" Target="https://www.facebook.com/HIS.Jaipur/posts/3173657939372975?__xts__%5B0%5D=68.ARAeM956Jx0KcS1DTiG5kVt0qQQvCWMXWDoeVJ6qcc2eGgXFjWdQs1ol_JOF8vlQuLyjuNxpt21Q5iU3gyvj6LCKb_3zELv7bEAYo9h1q8tTnW55PoF1ecmASyLqGUCMjGsWQWka9cbEPntlo7lfOQsm6cpiV93001S7KQG5KNcoLVkGPcK5RkyhhHjR-CxRyI1K542N33H4bGb3Zq7ke2rkzYaaCGNWjxKmjG16ATMq0Rl7sWl5EqTNEy3m40hH-OzEAzj6ZQzhsaNSt4SQj_XaL79o9XAv3Mbi8HPt2y5LBAPq_zNYIFo98zEFlkP3m3aZKKHip79HxSIMGGaKzBAQdA&amp;__tn__=-R" TargetMode="External"/><Relationship Id="rId474" Type="http://schemas.openxmlformats.org/officeDocument/2006/relationships/hyperlink" Target="https://www.outlookindia.com/newsscroll/animals-rights-group-offers-reward-for-info-on-jallikattu-bulls-death/1865163" TargetMode="External"/><Relationship Id="rId127" Type="http://schemas.openxmlformats.org/officeDocument/2006/relationships/hyperlink" Target="https://timesofindia.indiatimes.com/city/noida/two-booked-for-illegal-dog-breeding-at-gr-noida-home/articleshow/64130314.cms" TargetMode="External"/><Relationship Id="rId681" Type="http://schemas.openxmlformats.org/officeDocument/2006/relationships/hyperlink" Target="https://m.facebook.com/story.php?story_fbid=945482502318904&amp;id=100005714887443" TargetMode="External"/><Relationship Id="rId779" Type="http://schemas.openxmlformats.org/officeDocument/2006/relationships/hyperlink" Target="https://www.facebook.com/790769964435105/posts/1305115646333865/?vh=e" TargetMode="External"/><Relationship Id="rId902" Type="http://schemas.openxmlformats.org/officeDocument/2006/relationships/hyperlink" Target="https://www.facebook.com/126231667401895/posts/3883465278345163/?d=n" TargetMode="External"/><Relationship Id="rId31" Type="http://schemas.openxmlformats.org/officeDocument/2006/relationships/hyperlink" Target="https://www.facebook.com/babita.raj.125/posts/10156514659937066" TargetMode="External"/><Relationship Id="rId334" Type="http://schemas.openxmlformats.org/officeDocument/2006/relationships/hyperlink" Target="https://www.telegraphindia.com/india/threatened-by-monkeys-agra-hires-monkeys/cid/1675428" TargetMode="External"/><Relationship Id="rId541" Type="http://schemas.openxmlformats.org/officeDocument/2006/relationships/hyperlink" Target="https://punemirror.indiatimes.com/pune/civic/Cat-cruelty-takes-NCP-MP-to-court/articleshow/53676315.cms" TargetMode="External"/><Relationship Id="rId639" Type="http://schemas.openxmlformats.org/officeDocument/2006/relationships/hyperlink" Target="https://www.facebook.com/groups/sgacc/permalink/1739002512832305/" TargetMode="External"/><Relationship Id="rId180" Type="http://schemas.openxmlformats.org/officeDocument/2006/relationships/hyperlink" Target="https://www.facebook.com/HIS.Jaipur/posts/2679882158750558?__xts__%5B0%5D=68.ARD4bH0R6qdB2QD2y0ELUe7rYkqjRsUiceCynhphJbb-Pb3SptHGPMramUsOD9lesPReU33wJ0DksIzG0UFcBx3JqC59Z1pgzVUQHNBVLxxj8kb0O2ApbFFy0sqtIPWvodrEaqztvB-7WIVJlHU__5UCsU0SQ5i0-16wkdrIgYQ0_dWjQC-py3SuEZS-N9-3OLOAibW-VEDp_0WOiEUo7yEWG0YnAbBAaPeW6kAKxo0ip80ik0NkIo4ipWVgEMZ5lih3qgtFS7NLCom7GbfSQwTg7a8T9tpacQdAwfYJNDnFAP9q4QvGfqFpBQUl2EwQ_RgLRkFZdNAY6mbVP4r4FaMJ4Q&amp;__tn__=-R" TargetMode="External"/><Relationship Id="rId278" Type="http://schemas.openxmlformats.org/officeDocument/2006/relationships/hyperlink" Target="https://m.facebook.com/story.php?story_fbid=1327894137371648&amp;id=100004532229474" TargetMode="External"/><Relationship Id="rId401" Type="http://schemas.openxmlformats.org/officeDocument/2006/relationships/hyperlink" Target="https://www.facebook.com/PrayasINDIA/posts/1748028288595158?__xts__%5B0%5D=68.ARCImbB51JFy0koWr33vpMFFp1TLmfesQNBjpi17yQ0xRIABFe_E8_qjuQRndOYun7rMZUWzj9vkqIkI-ejvAi7U1zPFERKpMYzEZr5B5beo2R_CSJjdOtMeyHRSQf59uh4EEu1JFhDICYRsm2qopBKF-k_337kl4BrUNDBjqs7GxCa2Ad2ltp6WvpiBx24wWXeWMbO8goT0hly3-B46DtzxIzQdhZs1-UIoiVQflPAixWit5lAmFVTHzM-X-Ifysjik4jkTfimPu38KBUjBSzNv2mROgUGlmUOETaNRE5WOZds82tcP6Lz_ltDde7f_AGCheTocD1bCd-BZk4Q6pVcedw&amp;__tn__=-R" TargetMode="External"/><Relationship Id="rId846" Type="http://schemas.openxmlformats.org/officeDocument/2006/relationships/hyperlink" Target="https://www.thehindu.com/news/cities/bangalore/14-rose-ringed-parakeet-chicks-rescued-three-booked/article30422719.ece" TargetMode="External"/><Relationship Id="rId485" Type="http://schemas.openxmlformats.org/officeDocument/2006/relationships/hyperlink" Target="https://www.dailyo.in/politics/fishing-cats-animal-cruelty-poaching-world-environment-day-national-centre-for-biological-sciences/story/1/5445.html" TargetMode="External"/><Relationship Id="rId692" Type="http://schemas.openxmlformats.org/officeDocument/2006/relationships/hyperlink" Target="https://www.facebook.com/photo.php?fbid=10156960470624444&amp;set=a.10150445275974444&amp;type=3" TargetMode="External"/><Relationship Id="rId706" Type="http://schemas.openxmlformats.org/officeDocument/2006/relationships/hyperlink" Target="https://timesofindia.indiatimes.com/city/hyderabad/residents-set-ablaze-puppy-in-tolichowki/articleshow/67307782.cms" TargetMode="External"/><Relationship Id="rId913" Type="http://schemas.openxmlformats.org/officeDocument/2006/relationships/hyperlink" Target="https://www.facebook.com/groups/indiaanimalforum/permalink/2764454313636796/" TargetMode="External"/><Relationship Id="rId42" Type="http://schemas.openxmlformats.org/officeDocument/2006/relationships/hyperlink" Target="https://www.facebook.com/groups/PALThane/permalink/2813792415336452/" TargetMode="External"/><Relationship Id="rId138" Type="http://schemas.openxmlformats.org/officeDocument/2006/relationships/hyperlink" Target="http://www.dnaindia.com/delhi/report-15-dead-oxen-found-in-truck-near-vasant-kunj-area-2646175" TargetMode="External"/><Relationship Id="rId345" Type="http://schemas.openxmlformats.org/officeDocument/2006/relationships/hyperlink" Target="https://www.deccanherald.com/content/251644/withdraw-undergarment-ad-featuring-roosters.html" TargetMode="External"/><Relationship Id="rId552" Type="http://schemas.openxmlformats.org/officeDocument/2006/relationships/hyperlink" Target="https://m.facebook.com/story.php?story_fbid=10154799687818259&amp;id=265906613258" TargetMode="External"/><Relationship Id="rId191" Type="http://schemas.openxmlformats.org/officeDocument/2006/relationships/hyperlink" Target="https://www.facebook.com/groups/sgacc/permalink/2297459110319973/" TargetMode="External"/><Relationship Id="rId205" Type="http://schemas.openxmlformats.org/officeDocument/2006/relationships/hyperlink" Target="https://www.facebook.com/groups/531560163972253/permalink/707082096420058/" TargetMode="External"/><Relationship Id="rId412" Type="http://schemas.openxmlformats.org/officeDocument/2006/relationships/hyperlink" Target="http://www.asianage.com/life/more-features/090118/peta-india-gets-custody-of-horses-rescued-from-illegal-racing-sting.html" TargetMode="External"/><Relationship Id="rId857" Type="http://schemas.openxmlformats.org/officeDocument/2006/relationships/hyperlink" Target="https://www.instagram.com/p/B7SQldMHWkg/?igshid=1l73a8wqcaat9" TargetMode="External"/><Relationship Id="rId289" Type="http://schemas.openxmlformats.org/officeDocument/2006/relationships/hyperlink" Target="https://www.facebook.com/photo.php?fbid=3107612392601927&amp;set=a.113584182004778&amp;type=3" TargetMode="External"/><Relationship Id="rId496" Type="http://schemas.openxmlformats.org/officeDocument/2006/relationships/hyperlink" Target="https://m.facebook.com/story.php?story_fbid=10153747953908259&amp;id=265906613258" TargetMode="External"/><Relationship Id="rId717" Type="http://schemas.openxmlformats.org/officeDocument/2006/relationships/hyperlink" Target="https://timesofindia.indiatimes.com/city/agra/mathura-police-register-cases-against-100-people-for-locking-stray-cattle-inside-school/articleshow/67777247.cms" TargetMode="External"/><Relationship Id="rId924" Type="http://schemas.openxmlformats.org/officeDocument/2006/relationships/hyperlink" Target="https://www.facebook.com/groups/sgacc/permalink/2835588156507063/" TargetMode="External"/><Relationship Id="rId53" Type="http://schemas.openxmlformats.org/officeDocument/2006/relationships/hyperlink" Target="http://www.millenniumpost.in/kolkata/charges-framed-against-accused-duo-in-nrs-puppy-killing-case-395591?utm_source=mobile-social-share&amp;utm_partner=mpost&amp;utm_campaign=share&amp;utm_medium=facebook" TargetMode="External"/><Relationship Id="rId149" Type="http://schemas.openxmlformats.org/officeDocument/2006/relationships/hyperlink" Target="https://www.facebook.com/watch/?v=320130358721808" TargetMode="External"/><Relationship Id="rId356" Type="http://schemas.openxmlformats.org/officeDocument/2006/relationships/hyperlink" Target="https://www.conservationindia.org/gallery/spiny-tailed-lizard-poaching-desert-national-park" TargetMode="External"/><Relationship Id="rId563" Type="http://schemas.openxmlformats.org/officeDocument/2006/relationships/hyperlink" Target="https://pfahyd.org/animal-abuse-madhavarpuri-colony/" TargetMode="External"/><Relationship Id="rId770" Type="http://schemas.openxmlformats.org/officeDocument/2006/relationships/hyperlink" Target="https://www.indiatoday.in/india/story/up-govt-turns-miserly-when-it-comes-to-feeding-cows-1570519-2019-07-17" TargetMode="External"/><Relationship Id="rId216" Type="http://schemas.openxmlformats.org/officeDocument/2006/relationships/hyperlink" Target="https://www.facebook.com/332058007498381/posts/393495324687982/?d=n" TargetMode="External"/><Relationship Id="rId423" Type="http://schemas.openxmlformats.org/officeDocument/2006/relationships/hyperlink" Target="https://www.facebook.com/bluecrossofindia/posts/10157648759967170" TargetMode="External"/><Relationship Id="rId868" Type="http://schemas.openxmlformats.org/officeDocument/2006/relationships/hyperlink" Target="https://www.facebook.com/rushi.dubey.79/videos/205290890629596/" TargetMode="External"/><Relationship Id="rId630" Type="http://schemas.openxmlformats.org/officeDocument/2006/relationships/hyperlink" Target="https://www.scoopwhoop.com/animal-cruelty-in-india/" TargetMode="External"/><Relationship Id="rId728" Type="http://schemas.openxmlformats.org/officeDocument/2006/relationships/hyperlink" Target="https://m.facebook.com/story.php?story_fbid=10156605478177479&amp;id=732257478" TargetMode="External"/><Relationship Id="rId935" Type="http://schemas.openxmlformats.org/officeDocument/2006/relationships/hyperlink" Target="https://www.instagram.com/p/B-ePldmFoom/?igshid=199b5syre6vds" TargetMode="External"/><Relationship Id="rId64" Type="http://schemas.openxmlformats.org/officeDocument/2006/relationships/hyperlink" Target="https://www.facebook.com/peopleforanimalschennai/photos/a.232046000257036/853223591472604/?type=3" TargetMode="External"/><Relationship Id="rId367" Type="http://schemas.openxmlformats.org/officeDocument/2006/relationships/hyperlink" Target="https://www.instagram.com/p/BGpQm3jS8YA/?utm_source=ig_web_copy_link" TargetMode="External"/><Relationship Id="rId574" Type="http://schemas.openxmlformats.org/officeDocument/2006/relationships/hyperlink" Target="https://m.facebook.com/story.php?story_fbid=10155347958448259&amp;id=265906613258" TargetMode="External"/><Relationship Id="rId227" Type="http://schemas.openxmlformats.org/officeDocument/2006/relationships/hyperlink" Target="https://www.facebook.com/animalwelfareassociationofpanchkula/posts/2561708360723458?__xts__%5B0%5D=68.ARCFI-FFAXb57w4ZqPW4IOlgyQneW68kx5jdjTkEKqTm04u5Y4AYm0FW-Vv0wD1RLudMN2M3zn4EHaw79O2KpxzIxDgDhJJJKcf_TYsVk57diY1KY1ZYqkJLMcqVOh5QuzaL_zl15hovHjRIC1ffmEOfB4psgIEQ-a3y-UiEDTissWls9OvG9n_sLgzdXg1SwbUXde9IC-5BnhSevnPAi558oZ5fKO9YFS5k2cs13Q02PKoDE1cOs8XPqg6AKSCS5dKn9M2c850Mpee6fskrnIYCac0qSPbCoYd0cutAv3WUL2WyU2x_xDOJH2nnmHWJY0jMQMU--B6ZYaJLK9JRYaaXDh-e&amp;__tn__=-R" TargetMode="External"/><Relationship Id="rId781" Type="http://schemas.openxmlformats.org/officeDocument/2006/relationships/hyperlink" Target="https://www.facebook.com/groups/1382277738753927/permalink/2349590005356024/" TargetMode="External"/><Relationship Id="rId879" Type="http://schemas.openxmlformats.org/officeDocument/2006/relationships/hyperlink" Target="https://www.facebook.com/groups/indiaanimalforum/permalink/2711458788936349/" TargetMode="External"/><Relationship Id="rId434" Type="http://schemas.openxmlformats.org/officeDocument/2006/relationships/hyperlink" Target="https://www.facebook.com/AnimalAidUnlimited/videos/1990600067704295/?__xts__%5B0%5D=68.ARCKalaQ2MmdqdBe803RcKsTxMXeGof1-6q_yS007-tWj3IZc-FZ360K4l2TjH-ZkouLeKxFE7uKZKCSozyygiUWbV3ar2ii4qVEdSJd4tAty_tucI0t_YlVdUx3h32tCLhx7PIHPXAKA_kqZ_aNZKTwFT9wg0H2P8w3BtP7OI1_W058vadtmMqg1ZLPb6SeSp422B1cdsS8vvgcFI6xzNyyWfahYK771yPKtWeyYYj-KeQPyFJkFoZETOAG_6U1P5Or1IOjJnrNCetnkpzhjJtXRzr5FSGmPgwq7FO--GQr7rRQGK69QUDAON3QywDpA5tnC1i-9YE6NwR9cxzHPoMUY3chlQ&amp;__tn__=-R" TargetMode="External"/><Relationship Id="rId641" Type="http://schemas.openxmlformats.org/officeDocument/2006/relationships/hyperlink" Target="https://m.facebook.com/story.php?story_fbid=1976363942398176&amp;id=100000737685846" TargetMode="External"/><Relationship Id="rId739" Type="http://schemas.openxmlformats.org/officeDocument/2006/relationships/hyperlink" Target="https://www.indiatimes.com/news/india/in-yet-another-merciless-act-10-dogs-beaten-and-captured-in-sacks-in-gurugram-364924.html" TargetMode="External"/><Relationship Id="rId280" Type="http://schemas.openxmlformats.org/officeDocument/2006/relationships/hyperlink" Target="https://www.facebook.com/ArthFoundationActivities/posts/1041721419498322?__xts__%5B0%5D=68.ARCGxg5IzVnPkgh9GfpDxhIU6F5eDwUyHgBT84RphODfiqenfuHQAMhu-u4JMBqQVwpu21l_5Rroj5i-8Quc8MEBPLKCBUrhG0JkORZuTexMSE9z8kRRrkHDnnHc7GiptKJwjY74l2VX3Ohrblf2kROHZtJpE0Mt1c2nKzhS-MNVy_EMX3t0-5K6G8DSS3sfQoHwnAI1sifoHN13lL_RQ2GRqGctVlBqjHU4ppXwQffQ5zl7hrZQaeX9fIfwmr7naG46IeOaaljyirC2Rio_M9cBpXq3q18pLHDn23hsbQmslm_GQBaGYDMPdEZj1z5Sr7fx&amp;__tn__=H-R" TargetMode="External"/><Relationship Id="rId501" Type="http://schemas.openxmlformats.org/officeDocument/2006/relationships/hyperlink" Target="https://indianexpress.com/article/cities/chandigarh/rights-activists-ngos-protest-against-cruelty-on-animals/" TargetMode="External"/><Relationship Id="rId946" Type="http://schemas.openxmlformats.org/officeDocument/2006/relationships/hyperlink" Target="https://timesofindia.indiatimes.com/india/tiger-gets-life-behind-bars-for-killing-3-human-beings/articleshow/76240158.cms" TargetMode="External"/><Relationship Id="rId75" Type="http://schemas.openxmlformats.org/officeDocument/2006/relationships/hyperlink" Target="https://www.assistinganimals.com/" TargetMode="External"/><Relationship Id="rId140" Type="http://schemas.openxmlformats.org/officeDocument/2006/relationships/hyperlink" Target="https://www.facebook.com/groups/211555585962793/permalink/327493341035683/" TargetMode="External"/><Relationship Id="rId378" Type="http://schemas.openxmlformats.org/officeDocument/2006/relationships/hyperlink" Target="https://www.dailymail.co.uk/indiahome/indianews/article-4313868/Criminals-sell-langurs-protect-against-smaller-monkeys.html" TargetMode="External"/><Relationship Id="rId585" Type="http://schemas.openxmlformats.org/officeDocument/2006/relationships/hyperlink" Target="https://www.scoopwhoop.com/chennai-man-poisons-and-burns-stray-dogs/" TargetMode="External"/><Relationship Id="rId792" Type="http://schemas.openxmlformats.org/officeDocument/2006/relationships/hyperlink" Target="https://www.thehindu.com/news/national/other-states/6-held-for-smuggling-pangolins-in-kolkata/article29364074.ece" TargetMode="External"/><Relationship Id="rId806" Type="http://schemas.openxmlformats.org/officeDocument/2006/relationships/hyperlink" Target="https://www.facebook.com/groups/PALThane/permalink/2508976162484747/" TargetMode="External"/><Relationship Id="rId6" Type="http://schemas.openxmlformats.org/officeDocument/2006/relationships/hyperlink" Target="https://www.hindustantimes.com/gurgaon/32-puppies-rescued-from-sohna-road/story-Z598WndM4V5ehQVcdbJ5EJ.html" TargetMode="External"/><Relationship Id="rId238" Type="http://schemas.openxmlformats.org/officeDocument/2006/relationships/hyperlink" Target="https://www.facebook.com/VermaSwati.SV/posts/10158005216486807?__xts__%5B0%5D=68.ARCxheDryVInGAYfXi9d_ZLkiBQzmmJlkXX4yEHdwow3NCG7bepbuDh4zKPT0dMQ9fT4mZ5qvtwjy1n47OYaY8KFdk6t3KFRPINXMPVeYZPxVIzRkRI3OPoGy-0T9BOc47XDVVFdiZwtJJPFK6mTV6N2dzhJlPbRbn6ptJ1383vWP8VcG6PILmgiTM0KJ_b5M6YKrLHZA2kCkpBunnnrP_n6qMf6lb7kRoxTG3xxJfBhZeXgU8H-IFQPWgawEua2HY0niDJAxSsdmE7PT1YdJM75c4AwnA&amp;__tn__=-R" TargetMode="External"/><Relationship Id="rId445" Type="http://schemas.openxmlformats.org/officeDocument/2006/relationships/hyperlink" Target="https://www.facebook.com/AnimalAidUnlimited/posts/10157632913243259?__xts__%5B0%5D=68.ARDrIW2Ko9T6ey7fA-hHBEMxo7y59RN64UbSiVSF08E9Iu41-xC36UZsehYI2k8_MTRpoUujW83AXDEZhoggx5M7JuYV3Ed-LHHTBXGaCgHPgZQzrsC5YWCVQtHKvMDWNPsAzWM8KZq6eC1HEtezr0YN-9F857AL-lRL-PTYea6ZrJeKBlpsiuNMVcNnZnoxGGk5kv2pHilLpOhzo6fmKgaWFkOvbaPSDfbdSFySZhIvmzb761M-iwTzMubWKJTvUszAH3f1TKTtOCOwr0os8e-aCZFyeBbloavhjIVtzAZMyCBy6Jvk6t6HU3zaU5e1U4VNpigl5UBWWVDzyAy3&amp;__tn__=-R" TargetMode="External"/><Relationship Id="rId652" Type="http://schemas.openxmlformats.org/officeDocument/2006/relationships/hyperlink" Target="https://www.facebook.com/groups/sgacc/permalink/1813822785350277/" TargetMode="External"/><Relationship Id="rId291" Type="http://schemas.openxmlformats.org/officeDocument/2006/relationships/hyperlink" Target="https://www.facebook.com/ArthFoundationActivities/posts/1049802288690235?__xts__%5B0%5D=68.ARBgGkefArw3_0KiOYcnsfGLdtnnlu0v8w52H31uJSXxFLM60dKAEzk-C_Zyq_uFx3BryJSGHaJ-8vJWpMKmqhJm9LG1lyeiS7WoDbctgZUXBqI79KTRoSvPcxXOrh8u2_Qf_5y54PcvB7kaW3_T3Lh1W6W-3-dhY1aSbzj5sqrqEePA3C2T9VHVABlMxD71f3g584YGEn5bKVfQInbfeRqql_myRMatb1_iwpUag05d57zHAaJDlGYBb3g5QzuGHxyYd2V8XcqqpryWKIH76SzdtxJkTMvIh4PL33N9yC1XgbRPOylaB7cBPsi7mvETLCCKEH2AWnY60Q4hKOItlvsTcw&amp;__tn__=-R" TargetMode="External"/><Relationship Id="rId305" Type="http://schemas.openxmlformats.org/officeDocument/2006/relationships/hyperlink" Target="https://www.facebook.com/pawsforacausencr/posts/1666214973521781?__xts__%5B0%5D=68.ARCV6CpXpfuvs_myrevYjaSWi769PxCljvfShrPpJZ6WcqHskib9wcm9pAeJWfb3ufpe84-EZJaGpscElcYJc5f2gBM3LYcFcZO7ciK1KcMdmJXx_wc9rszOi6sd9mjVVnCEXgP0XN5q8cv9U5MEfXc0YgpmJs4PIQemM_5AVjLc0CiypOikGT9_RKNNXwzrwDqUkH6G98j65npimsbqp7V-5__bTgsiTLqvv7hKPrtXng7XEt3M2hOwEhQXzhG2mCcD1lKTULHbHKsDWlnl958kF0YxtgRPxrDrga2maCt0CVySrHP5gBdDC7fI--6q9lSi&amp;__tn__=H-R" TargetMode="External"/><Relationship Id="rId512" Type="http://schemas.openxmlformats.org/officeDocument/2006/relationships/hyperlink" Target="https://www.facebook.com/pg/PAWSDumDum/posts/?ref=page_internal" TargetMode="External"/><Relationship Id="rId957" Type="http://schemas.openxmlformats.org/officeDocument/2006/relationships/hyperlink" Target="https://www.facebook.com/groups/thepound/permalink/1640878035922689/" TargetMode="External"/><Relationship Id="rId86" Type="http://schemas.openxmlformats.org/officeDocument/2006/relationships/hyperlink" Target="https://m.facebook.com/story.php?story_fbid=10154472790698259&amp;substory_index=0&amp;id=265906613258" TargetMode="External"/><Relationship Id="rId151" Type="http://schemas.openxmlformats.org/officeDocument/2006/relationships/hyperlink" Target="https://www.facebook.com/pfakollam/videos/vb.840811579305912/300213120822805/?type=2&amp;theater" TargetMode="External"/><Relationship Id="rId389" Type="http://schemas.openxmlformats.org/officeDocument/2006/relationships/hyperlink" Target="https://english.mathrubhumi.com/news/columns/faunaforum/monitor-lizards-genitals-sold-as-lucky-charm-mathrubhumi-1.2180709" TargetMode="External"/><Relationship Id="rId596" Type="http://schemas.openxmlformats.org/officeDocument/2006/relationships/hyperlink" Target="https://www.tribuneindia.com/news/archive/seven-booked-for-cruelty-to-animals-319721" TargetMode="External"/><Relationship Id="rId817" Type="http://schemas.openxmlformats.org/officeDocument/2006/relationships/hyperlink" Target="https://www.hindustantimes.com/cities/moradabad-cops-arrest-46-for-slaughtering-buffaloes-illegally/story-vRARuTx8BLqTWM3wWXxIrO.html" TargetMode="External"/><Relationship Id="rId249" Type="http://schemas.openxmlformats.org/officeDocument/2006/relationships/hyperlink" Target="https://www.facebook.com/kannananimalwelfare/photos/a.678417988930402/2269827556456096/?type=3&amp;__xts__%5B0%5D=68.ARD9zgU0jLzhUbH8HvSnE24qTIS3GyIcxP8G5ziU5ZyWtVt9L_tbM30yb9pZKx3k2SLvxkxaaYVbnLmbCRGDnzOa-PqcyRaiabhSVlX5AOyvy4mjLgtm2o4MKV_1YLJD4NXobx78gL5PRTJLGy32qSTUNDDT7Ro84x_Q-UWSGXT8DmOI8yp_vMn_aRLu0it3t5DNjvWw7MH8mu5HlntuaOQQXXz7LYzuQ_5RC8zhoQhMLgAuaehsNzXEAMoL9V4LmLp-xFIFju49ozjZgIxUv_MLqWhhNM-EfrtVNukw5nUtdcojsVrr6F6zlcNAq6vpBeTega5x7DAwFgOlCNj-YcXQLA&amp;__tn__=-R" TargetMode="External"/><Relationship Id="rId456" Type="http://schemas.openxmlformats.org/officeDocument/2006/relationships/hyperlink" Target="https://www.facebook.com/newdelhinaturesociety/photos/a.639505299444172/2937978756263470/?type=3&amp;__xts__%5B0%5D=68.ARAglNjy7Ew9Nl1uGPBQzPuxb9WxEn1YqWHXU9D67OeWYmMTVfPy7iY3gqHppZNxjPcWBEW4PtNLtl_Ifmn9M95yUpul32sHOHTiLfm0lnPMsLccK8N3B92ENjGp_9V_P281yCrak8X77_nK84S8GXFaaPi1uLrD7vBrjbXapbTq-XuRifnNIX0GhVgX8yrf-x8Xjpf6A9LRxtayXxDeGKR9wm_NTcYFx8s3gYV3oYAeCCdKx2ebBuEmWyGqofYGd8lgJ0dyP_TQtnxrNvz6fPDYsAcDB4AaWa15gPYJ2tTKkWToYo2UATrDCqW_b21rzmtj7eMlYcv4R2z2Ick&amp;__tn__=H-R" TargetMode="External"/><Relationship Id="rId663" Type="http://schemas.openxmlformats.org/officeDocument/2006/relationships/hyperlink" Target="https://www.ndtv.com/delhi-news/7-puppies-found-dead-in-delhis-dwarka-apartment-resident-alleges-animal-cruelty-1903507" TargetMode="External"/><Relationship Id="rId870" Type="http://schemas.openxmlformats.org/officeDocument/2006/relationships/hyperlink" Target="https://www.deccanherald.com/city/top-bengaluru-stories/monkey-deaths-in-basavanagudi-poisoning-suspected-797603.html" TargetMode="External"/><Relationship Id="rId13" Type="http://schemas.openxmlformats.org/officeDocument/2006/relationships/hyperlink" Target="http://news/" TargetMode="External"/><Relationship Id="rId109" Type="http://schemas.openxmlformats.org/officeDocument/2006/relationships/hyperlink" Target="https://www.facebook.com/resqct/posts/10157085291011101" TargetMode="External"/><Relationship Id="rId316" Type="http://schemas.openxmlformats.org/officeDocument/2006/relationships/hyperlink" Target="https://www.facebook.com/pawsforacausencr/photos/a.726642137479074/1680750052068273/?type=3" TargetMode="External"/><Relationship Id="rId523" Type="http://schemas.openxmlformats.org/officeDocument/2006/relationships/hyperlink" Target="https://www.change.org/p/calcutta-municipal-corporation-indian-street-dogs-tortured-physically-assaulted" TargetMode="External"/><Relationship Id="rId968" Type="http://schemas.openxmlformats.org/officeDocument/2006/relationships/hyperlink" Target="https://www.thehindu.com/news/cities/Mangalore/nmpt-firemen-rescue-bull/article31847972.ece" TargetMode="External"/><Relationship Id="rId97" Type="http://schemas.openxmlformats.org/officeDocument/2006/relationships/hyperlink" Target="https://www.facebook.com/groups/indiaanimalforum/permalink/1334560856626156/" TargetMode="External"/><Relationship Id="rId730" Type="http://schemas.openxmlformats.org/officeDocument/2006/relationships/hyperlink" Target="https://www.facebook.com/arcKolkata63/posts/2520723651294068?__xts__%5B0%5D=68.ARCDVcIrHZruGwGdzIP5vgwOvJ-fPpPt8bgl8rlGBv2Xsn4tXT1eQ2swpj3_60_EEsA9T1AyGpxjICzIDmONMuWWebgiZD3hetlLQoxhcuc67J6y3rNCDGrStqmz4SKRZKzAubGM6ExTVnMhlr12VERsa7tMPg-rXJ0Qfw_SCSb_VBbHMJrOm5Cwz5zbqthCbDaTL1K2X_jJh8EnVtYc29cK0EudGpiyqbt9GSOTrobox03xmUG6HQqw4HFOmEz7DwHjTr5GIbHmqYSgoOloZOO4IrZqTlcAenqLZ6maJxrRDSBY_6ZDFsY25fO8mgG25cEUVjxcoSJj-CypUYlZjrGrXRku&amp;__tn__=-R" TargetMode="External"/><Relationship Id="rId828" Type="http://schemas.openxmlformats.org/officeDocument/2006/relationships/hyperlink" Target="https://www.facebook.com/p4adurgbhilai/posts/819864395138283?__xts__%5B0%5D=68.ARCmih34wyueYrqzEvINGFnS9BgmsCPqtwC-TudRSZ_fAOlLlV7WLviDpkmGVIs9HbAdUfVqxftD6Ats3kVqWnagRHoNHjqIyr34RFuJv1BkgKm6RLAjS9eDDBwzVPKJGcn98ZagQdl3H9HIArC5ERHxSYd6fdbp5fGdlKkrXeEFxCJR9SFnwniiNjPc6JaCVzbCVJS_8cpkCabTTgvjUabOwmoexYvBVmuLoK9NMOME3XRuKJKwtzGYNx3qvPXatITa62uldHIN55EqFlkyqv6TpSF6tG0pHjFmfkNjTWzqcLe0gkBC8hmZpAwmqwGf24ZWYJRVGBDhfQBnx2CsuE0&amp;__tn__=-R" TargetMode="External"/><Relationship Id="rId162" Type="http://schemas.openxmlformats.org/officeDocument/2006/relationships/hyperlink" Target="https://www.facebook.com/groups/help.animals.birds/permalink/2226392444283587/" TargetMode="External"/><Relationship Id="rId467" Type="http://schemas.openxmlformats.org/officeDocument/2006/relationships/hyperlink" Target="https://www.facebook.com/savramesh/posts/2879950552025268" TargetMode="External"/><Relationship Id="rId674" Type="http://schemas.openxmlformats.org/officeDocument/2006/relationships/hyperlink" Target="https://www.facebook.com/groups/sgacc/permalink/1974606582605229/" TargetMode="External"/><Relationship Id="rId881" Type="http://schemas.openxmlformats.org/officeDocument/2006/relationships/hyperlink" Target="https://www.facebook.com/groups/help.animals.birds/permalink/2527847884138040/" TargetMode="External"/><Relationship Id="rId24" Type="http://schemas.openxmlformats.org/officeDocument/2006/relationships/hyperlink" Target="https://www.thehindu.com/news/national/karnataka/activist-alleges-mass-dog-culling/article22361934.ece" TargetMode="External"/><Relationship Id="rId327" Type="http://schemas.openxmlformats.org/officeDocument/2006/relationships/hyperlink" Target="https://www.facebook.com/groups/1382277738753927/permalink/2543629255952097/" TargetMode="External"/><Relationship Id="rId534" Type="http://schemas.openxmlformats.org/officeDocument/2006/relationships/hyperlink" Target="https://www.facebook.com/100001798228995/posts/1093634827373114?sfns=mo" TargetMode="External"/><Relationship Id="rId741" Type="http://schemas.openxmlformats.org/officeDocument/2006/relationships/hyperlink" Target="https://m.facebook.com/story.php?story_fbid=1033731983493955&amp;id=100005714887443" TargetMode="External"/><Relationship Id="rId839" Type="http://schemas.openxmlformats.org/officeDocument/2006/relationships/hyperlink" Target="http://news.statetimes.in/13-bovines-rescued-smuggler-flees-2/" TargetMode="External"/><Relationship Id="rId173" Type="http://schemas.openxmlformats.org/officeDocument/2006/relationships/hyperlink" Target="https://m.facebook.com/story.php?story_fbid=2517929511569395&amp;id=100000571126335" TargetMode="External"/><Relationship Id="rId380" Type="http://schemas.openxmlformats.org/officeDocument/2006/relationships/hyperlink" Target="https://www.thenewsminute.com/article/tn-farmers-delhi-hold-dead-snakes-mouth-day-16-protests-59474" TargetMode="External"/><Relationship Id="rId601" Type="http://schemas.openxmlformats.org/officeDocument/2006/relationships/hyperlink" Target="https://www.downtoearth.org.in/news/forests/when-forest-officials-help-poachers-hunt-down-protected-animals-63436" TargetMode="External"/><Relationship Id="rId240" Type="http://schemas.openxmlformats.org/officeDocument/2006/relationships/hyperlink" Target="https://www.facebook.com/kaveriranabhardwaj/videos/1001477113527032/" TargetMode="External"/><Relationship Id="rId478" Type="http://schemas.openxmlformats.org/officeDocument/2006/relationships/hyperlink" Target="https://www.ndtv.com/india-news/mob-tries-to-set-helpless-bear-ablaze-in-kashmir-probe-ordered-505444" TargetMode="External"/><Relationship Id="rId685" Type="http://schemas.openxmlformats.org/officeDocument/2006/relationships/hyperlink" Target="https://www.facebook.com/pragati.khanna.50/posts/947425875457900" TargetMode="External"/><Relationship Id="rId892" Type="http://schemas.openxmlformats.org/officeDocument/2006/relationships/hyperlink" Target="https://www.facebook.com/groups/sgacc/permalink/2785268038205742/" TargetMode="External"/><Relationship Id="rId906" Type="http://schemas.openxmlformats.org/officeDocument/2006/relationships/hyperlink" Target="https://www.facebook.com/groups/1382277738753927/permalink/2523122554669434/" TargetMode="External"/><Relationship Id="rId35" Type="http://schemas.openxmlformats.org/officeDocument/2006/relationships/hyperlink" Target="https://timesofindia.indiatimes.com/city/vijayawada/40-stray-dogs-poisoned-to-death-in-vijayawada/articleshow/71202198.cms" TargetMode="External"/><Relationship Id="rId100" Type="http://schemas.openxmlformats.org/officeDocument/2006/relationships/hyperlink" Target="https://m.facebook.com/story.php?story_fbid=1547808821957903&amp;id=336779206394210" TargetMode="External"/><Relationship Id="rId338" Type="http://schemas.openxmlformats.org/officeDocument/2006/relationships/hyperlink" Target="https://drive.google.com/file/d/1i8MgjPDvvGZoSTTkZQ0OLHoIMI0TO6dw/view?usp=sharing" TargetMode="External"/><Relationship Id="rId545" Type="http://schemas.openxmlformats.org/officeDocument/2006/relationships/hyperlink" Target="https://indianexpress.com/article/trending/this-is-serious/video-this-mumbai-man-ran-his-car-over-a-stray-dog-just-because-he-apparently-peed-on-it-3104171/" TargetMode="External"/><Relationship Id="rId752" Type="http://schemas.openxmlformats.org/officeDocument/2006/relationships/hyperlink" Target="https://www.facebook.com/HIS.Jaipur/posts/2733699376702169?__xts__%5B0%5D=68.ARCuZCpJeZqwTF5FMqXxLSs4QZJZdLBAm3UB3tojHAKOUxttIyMtbTGQl8-APKYHgp20F9LLC6PDPZY5YqY-WJmxquwNivwvEUIg_R_6pD1frTbKdAgP7ji2aYz1zMlBGzxKL8smCj8Rqd6890Kn2lrpf8dZu0ZC_PiICJt4UZqq5oNV7HtiK6YTGU_In2tybb_cV5hUl_8bfWWnBb49vGfATU62UOCvTQLs-A5zVZV4s_TsN8L3uYSjm5_Y8RIBN0hHVkS85BCSthu96-4t7FTuevyxR8BjFGdddXC5ITV-tPMKWgK2LG9O8P1jvMzpI1Qct8u3vwvYiqe9GqFQ0yYD1Q&amp;__tn__=-R" TargetMode="External"/><Relationship Id="rId184" Type="http://schemas.openxmlformats.org/officeDocument/2006/relationships/hyperlink" Target="https://www.facebook.com/resqct/posts/10157085291011101" TargetMode="External"/><Relationship Id="rId391" Type="http://schemas.openxmlformats.org/officeDocument/2006/relationships/hyperlink" Target="https://scroll.in/article/848026/dancing-bears-and-their-human-owners-where-cruelty-and-caring-co-exist" TargetMode="External"/><Relationship Id="rId405" Type="http://schemas.openxmlformats.org/officeDocument/2006/relationships/hyperlink" Target="https://www.facebook.com/BiharPeopleForAnimals/posts/281222512329483?__xts__%5b0%5d=68.ARBrDXOmmvT6a-pT-iKNE7QRjFNkRz_V_ty7cLUwW5Q2CkVEhc5lf3AXWlYnZYoEjh1c420C33sObsthGRTk_G0xJUQTlXVRV8Mo47XApwT-uG4qwH21-zlO33t2gXHQgtYwdTFwcaURPX2QnUr48w1IXGHSdnWGJraDcY3u" TargetMode="External"/><Relationship Id="rId612" Type="http://schemas.openxmlformats.org/officeDocument/2006/relationships/hyperlink" Target="https://www.oneindia.com/india/son-kills-dog-father-gets-him-arrested-know-awbi-guidelines-2614182.html" TargetMode="External"/><Relationship Id="rId251" Type="http://schemas.openxmlformats.org/officeDocument/2006/relationships/hyperlink" Target="https://indianexpress.com/article/cities/delhi/33-dogs-stolen-from-noida-vet-hospital-10-recovered-in-raid-6144808/" TargetMode="External"/><Relationship Id="rId489" Type="http://schemas.openxmlformats.org/officeDocument/2006/relationships/hyperlink" Target="https://www.facebook.com/PrayasINDIA/posts/937776976286964?comment_id=945646608833334" TargetMode="External"/><Relationship Id="rId696" Type="http://schemas.openxmlformats.org/officeDocument/2006/relationships/hyperlink" Target="https://timesofindia.indiatimes.com/city/ghaziabad/ghaziabad-two-tie-dog-to-bike-drag-it-till-it-dies/articleshow/67109850.cms" TargetMode="External"/><Relationship Id="rId917" Type="http://schemas.openxmlformats.org/officeDocument/2006/relationships/hyperlink" Target="https://www.facebook.com/groups/1382277738753927/permalink/2528324624149227/" TargetMode="External"/><Relationship Id="rId46" Type="http://schemas.openxmlformats.org/officeDocument/2006/relationships/hyperlink" Target="https://www.facebook.com/pawsforacausencr/posts/1652734241536521?__xts__%5B0%5D=68.ARC09aHTo1z9xoBpNyAsLWspQ2wMWl5am_BDHOl6ax4bT3a3P3444IXjSrk3Uue2Xf6mFfoPW16ecA4OyLOZNodjtUHOTJAjW299A_qrTIWMVEs_nFYfXHFn-o2YCCDYCydlUcFAFHPnxAARh0NDCbXZ6XKo5Y7bdWysDIFGQ-VUB8a-xMp4RU1FnoFEplOtF56gozrVs35qbJzfUtEDKuCAokA6BaBwQ0btJSifTva2UCT-ZX5eZFyi9ft35PlyN9c0c_vH1QpI9mCvke8U0aes3nhRmB75ATjCJsurHUGVkcjAaB6Hte2Hjb6qJz0N4tgq&amp;__tn__=H-R" TargetMode="External"/><Relationship Id="rId349" Type="http://schemas.openxmlformats.org/officeDocument/2006/relationships/hyperlink" Target="https://timesofindia.indiatimes.com/sports/more-sports/others/Two-horses-die-in-a-polo-match/articleshow/18053425.cms" TargetMode="External"/><Relationship Id="rId556" Type="http://schemas.openxmlformats.org/officeDocument/2006/relationships/hyperlink" Target="https://www.instagram.com/p/BGkIJZyMYie/?utm_source=ig_web_copy_link" TargetMode="External"/><Relationship Id="rId763" Type="http://schemas.openxmlformats.org/officeDocument/2006/relationships/hyperlink" Target="https://timesofindia.indiatimes.com/city/thane/thane-man-held-for-beating-rat-snake-to-death/articleshow/70007918.cms" TargetMode="External"/><Relationship Id="rId111" Type="http://schemas.openxmlformats.org/officeDocument/2006/relationships/hyperlink" Target="https://m.facebook.com/story.php?story_fbid=10155889989479940&amp;id=819049939" TargetMode="External"/><Relationship Id="rId195" Type="http://schemas.openxmlformats.org/officeDocument/2006/relationships/hyperlink" Target="https://www.facebook.com/pawsforacausencr/posts/1455786384564642?__xts__%5B0%5D=68.ARDKZ34izFKVkZ0IUI0sS_fB5O5l4tgxjgSRux8EBqDOdv9lTT1uap4Fr2IN-QPWE5kN3S9bc56E6eEzphnHuLzeuYbEz-4MFypN5qHOBvBc5A1BQeiKrxYJ_JBDfeP-MlCPYV_gccRJ6AmvapawVFVhXwxQQDRVA1eoImHgResOsZjPcODeuTTpEQtZiBo6AWQ9GaRVCJHDDDFwe6hMfduPBiwAmkJPtKgDMQswLXkKoMW-8D04RS50Aci5dTxlfmH-HF_mxeBJbgSj7bN79xS5-PjFcuSRy7Wo4ZHAJgt4J-MIOvEQPAS3UPewnUksk6JC40q7R04hpQnsnPFxeDCFoA&amp;__tn__=-R" TargetMode="External"/><Relationship Id="rId209" Type="http://schemas.openxmlformats.org/officeDocument/2006/relationships/hyperlink" Target="https://www.facebook.com/animalwelfareassociationofpanchkula/videos/2068353726792901/?__xts__%5B0%5D=68.ARBOFb1_vaiSHWPcGPdwWtbZhP3u6QCG8u1SzQHELfgwgqqR-N2_HmPhv7-tM1lUTAV_WQ7wi7Xd8US35K-Xx2bify73A1UfLb4LeHj2U3Snu0rKOBrYz4AhBWkFlxMSTx6AQDQDyrViJYTD58yN2zuiPpcQfDIqtBsCWM1RmK_qsRXAcDaZLp4ARrkpB37BhVEWTzpSgmE6_P4RdKBE_vD3ZtBP047ch9PFruyT20G_lxfZlRWBkMZz3Jbn1kf417FrAq-T9RfyNaNMm7FOfN1dC19ubuVJKi6hmcZxldR-fUGpXXFV0wb2ChOxUBeciy4oODXqJs_pJsTzJnpwY_z1iEkFSFaTBGbdu4Y9&amp;__tn__=-R" TargetMode="External"/><Relationship Id="rId416" Type="http://schemas.openxmlformats.org/officeDocument/2006/relationships/hyperlink" Target="https://timesofindia.indiatimes.com/india/in-red-list-of-threatened-species-owls-massacred-on-diwali-for-luck/articleshow/66411500.cms" TargetMode="External"/><Relationship Id="rId970" Type="http://schemas.openxmlformats.org/officeDocument/2006/relationships/hyperlink" Target="https://timesofindia.indiatimes.com/city/navi-mumbai/dogs-poisoned-to-death-in-panvel-complaint-filed/articleshow/76538029.cms" TargetMode="External"/><Relationship Id="rId623" Type="http://schemas.openxmlformats.org/officeDocument/2006/relationships/hyperlink" Target="https://www.facebook.com/groups/PALThane/permalink/1649973045051734/" TargetMode="External"/><Relationship Id="rId830" Type="http://schemas.openxmlformats.org/officeDocument/2006/relationships/hyperlink" Target="https://www.india.com/viral/another-animal-cruelty-case-stray-dog-tied-to-car-and-dragged-to-death-in-udaipur-3832606/" TargetMode="External"/><Relationship Id="rId928" Type="http://schemas.openxmlformats.org/officeDocument/2006/relationships/hyperlink" Target="https://www.facebook.com/100002175644660/posts/2854876964594797/?d=n" TargetMode="External"/><Relationship Id="rId57" Type="http://schemas.openxmlformats.org/officeDocument/2006/relationships/hyperlink" Target="https://www.facebook.com/wag.india/posts/1026348110881577" TargetMode="External"/><Relationship Id="rId262" Type="http://schemas.openxmlformats.org/officeDocument/2006/relationships/hyperlink" Target="https://m.facebook.com/story.php?story_fbid=1617236131752999&amp;id=725848997558388" TargetMode="External"/><Relationship Id="rId567" Type="http://schemas.openxmlformats.org/officeDocument/2006/relationships/hyperlink" Target="https://www.facebook.com/abhinav.srihan/posts/10154247553347120" TargetMode="External"/><Relationship Id="rId122" Type="http://schemas.openxmlformats.org/officeDocument/2006/relationships/hyperlink" Target="https://www.facebook.com/groups/indiaanimalforum/permalink/1129458320469745/" TargetMode="External"/><Relationship Id="rId774" Type="http://schemas.openxmlformats.org/officeDocument/2006/relationships/hyperlink" Target="https://www.newsnation.in/india/news/who-is-the-beast-villagers-beat-tigress-to-death-in-pilibhit-reserve-post-mortem-shows-broken-ribs-punctured-lungs-231942.html" TargetMode="External"/><Relationship Id="rId427" Type="http://schemas.openxmlformats.org/officeDocument/2006/relationships/hyperlink" Target="https://www.facebook.com/HIS.Jaipur/posts/3284051218333646?__xts__%5B0%5D=68.ARCqLF6BIifnotz7wVf3AGIux_5M0Bx1T_NM0JI-ec6HATzeCxCltyaMWT3CSFr08hERVw9AmVHIxIIVGzSGuMOzS9V_6zSCcGOaDe_JSIXxO_lBS9TkF3mAgaShS-1lyW6u3-knBfu1mU_oHjkkNCH8TbjKA5xDsLQZ8tngNw0G74KKAL1Ilq54IUOSDf33kb39UogqKwWKMiPHJNm_qJMkIkfhw40VprbYGcjbHKoV1EH5anWsxPEEwrH6eIOhEjFxFKwb5DkJKgbOEinbtu3NGMGx5_egkTrVnKVY6CIxJKjgTGO7xdBCZdhUeWYu5B6p8rIucno-PgVbwyyhfEgSWQ&amp;__tn__=-R" TargetMode="External"/><Relationship Id="rId634" Type="http://schemas.openxmlformats.org/officeDocument/2006/relationships/hyperlink" Target="https://indianexpress.com/article/cities/delhi/after-complaint-delhi-police-probe-death-of-4-dogs-5151923/" TargetMode="External"/><Relationship Id="rId841" Type="http://schemas.openxmlformats.org/officeDocument/2006/relationships/hyperlink" Target="https://www.indiatimes.com/news/india/from-starving-elephants-to-killing-strays-for-fun-six-cases-of-animal-cruelty-376536.html" TargetMode="External"/><Relationship Id="rId273" Type="http://schemas.openxmlformats.org/officeDocument/2006/relationships/hyperlink" Target="https://www.facebook.com/groups/goapetlife/permalink/1815014028598551/" TargetMode="External"/><Relationship Id="rId480" Type="http://schemas.openxmlformats.org/officeDocument/2006/relationships/hyperlink" Target="https://www.facebook.com/groups/PALThane/permalink/533511556697894/" TargetMode="External"/><Relationship Id="rId701" Type="http://schemas.openxmlformats.org/officeDocument/2006/relationships/hyperlink" Target="https://www.facebook.com/groups/indiaanimalforum/permalink/1987093768039525/" TargetMode="External"/><Relationship Id="rId939" Type="http://schemas.openxmlformats.org/officeDocument/2006/relationships/hyperlink" Target="https://www.opindia.com/2020/05/madhya-pradesh-guna-samar-khan-rape-cow-viral-video-fir-registered/amp/" TargetMode="External"/><Relationship Id="rId68" Type="http://schemas.openxmlformats.org/officeDocument/2006/relationships/hyperlink" Target="https://www.facebook.com/permalink.php?story_fbid=1522335028005831&amp;id=1479152498990751" TargetMode="External"/><Relationship Id="rId133" Type="http://schemas.openxmlformats.org/officeDocument/2006/relationships/hyperlink" Target="https://www.facebook.com/almightyanimalcaretrust/posts/920010204817209" TargetMode="External"/><Relationship Id="rId340" Type="http://schemas.openxmlformats.org/officeDocument/2006/relationships/hyperlink" Target="https://timesofindia.indiatimes.com/city/chennai/Fight-graft-but-spare-donkeys-activists-write-to-Anna/articleshow/9767504.cms" TargetMode="External"/><Relationship Id="rId578" Type="http://schemas.openxmlformats.org/officeDocument/2006/relationships/hyperlink" Target="https://www.facebook.com/PrayasINDIA/posts/1463026980428625?__xts__%5B0%5D=68.ARCfEG46kCCYEKx6PhtC6KzMxL0AOL0o5IWBz9ps4wlMTYHeZK49buRsyHvxCyO9L1vjG8VKd10XkB4Q_IfecF0rvRDUdocJhCQXiU3f3DNb3433kTDb9yfB-yqKZ47zEnukNUX5Ka7S8hOJjOv0sSogklSTrK4bd9Wf1o7sp2fURKT7EhnuBW4bSYQRF_TJpHfJP_AzHLryDwkZvKHVG2gJ-s0gMrMsKb_oys2qLmI4VorRrpBHFzxnt3R8ZwJ90yKmdtEA1Ht_0JU393d45KBBG7F_GATsrTVCiZfGSSxzxt6ZgJ4f5vesqMgT7gWvSAZ6LYe4sLCcFELab2KU8RbjOQ&amp;__tn__=-R" TargetMode="External"/><Relationship Id="rId785" Type="http://schemas.openxmlformats.org/officeDocument/2006/relationships/hyperlink" Target="https://www.instagram.com/p/B1v7oqUAtGC/?utm_source=ig_web_copy_link" TargetMode="External"/><Relationship Id="rId200" Type="http://schemas.openxmlformats.org/officeDocument/2006/relationships/hyperlink" Target="https://m.facebook.com/story.php?story_fbid=10220721734702257&amp;id=1503421277" TargetMode="External"/><Relationship Id="rId438" Type="http://schemas.openxmlformats.org/officeDocument/2006/relationships/hyperlink" Target="https://www.facebook.com/PrayasINDIA/posts/2664004206997557?__xts__%5B0%5D=68.ARCP25YSyfBxnp8pPUGQuupM1q3fJinLav2d3rL5ESxaErlB1YEYNnoxIsBzVgxQxEFdzSZRXAgByAkTUR_AX6ISccwD7zsq7-diRtwVVJE85SSSAdKN3466jEWueHmzJHSrJdv2q1t_O9wUFTTR2KYPz7Lrt-MnMjG12acRQOC6f8WkrfHwYeXPOXeiHxYD5-c2qGI4hwtpGxjQMKNQ580zYZKyz3PaY1Qv2KvPKMwGcC5EWzc2_QuV5VTdU2rDzLOIOqrHfKs-SYCKrcfkyo7ZhFKHKFQiDOSasBF7JeukmUr8Hzyr-w3PN8m5tytjCde8b7euUCpUwbpUOlVJz3bDdw&amp;__tn__=-R" TargetMode="External"/><Relationship Id="rId645" Type="http://schemas.openxmlformats.org/officeDocument/2006/relationships/hyperlink" Target="https://www.facebook.com/annu.sahni.37/posts/2059230764334998" TargetMode="External"/><Relationship Id="rId852" Type="http://schemas.openxmlformats.org/officeDocument/2006/relationships/hyperlink" Target="https://www.facebook.com/groups/683166908425471/permalink/3407404636001671/" TargetMode="External"/><Relationship Id="rId284" Type="http://schemas.openxmlformats.org/officeDocument/2006/relationships/hyperlink" Target="https://www.facebook.com/groups/dwarkadoglovers/permalink/2543587749295492/" TargetMode="External"/><Relationship Id="rId491" Type="http://schemas.openxmlformats.org/officeDocument/2006/relationships/hyperlink" Target="https://m.facebook.com/story.php?story_fbid=10153621684493259&amp;id=265906613258" TargetMode="External"/><Relationship Id="rId505" Type="http://schemas.openxmlformats.org/officeDocument/2006/relationships/hyperlink" Target="https://www.facebook.com/1490798644550799/posts/1542301736067156/?d=n" TargetMode="External"/><Relationship Id="rId712" Type="http://schemas.openxmlformats.org/officeDocument/2006/relationships/hyperlink" Target="https://www.facebook.com/groups/1382277738753927/permalink/2198459830469043/" TargetMode="External"/><Relationship Id="rId79" Type="http://schemas.openxmlformats.org/officeDocument/2006/relationships/hyperlink" Target="https://www.facebook.com/peopleforanimalschennai/posts/1129643643830596" TargetMode="External"/><Relationship Id="rId144" Type="http://schemas.openxmlformats.org/officeDocument/2006/relationships/hyperlink" Target="https://www.facebook.com/1490798644550799/posts/2081706158793375/?vh=e" TargetMode="External"/><Relationship Id="rId589" Type="http://schemas.openxmlformats.org/officeDocument/2006/relationships/hyperlink" Target="https://indianexpress.com/article/india/chhattisgarh-durg-district-horror-in-2-more-gaushalas-dozens-of-carcasses-starving-cows-bjp-harish-verma-4804717/" TargetMode="External"/><Relationship Id="rId796" Type="http://schemas.openxmlformats.org/officeDocument/2006/relationships/hyperlink" Target="https://m.facebook.com/story.php?story_fbid=1156315704568915&amp;id=100005714887443" TargetMode="External"/><Relationship Id="rId351" Type="http://schemas.openxmlformats.org/officeDocument/2006/relationships/hyperlink" Target="https://ascionline.org/index.php/june-2013.html" TargetMode="External"/><Relationship Id="rId449" Type="http://schemas.openxmlformats.org/officeDocument/2006/relationships/hyperlink" Target="https://www.facebook.com/HIS.Jaipur/posts/3337205326351568?__xts__%5B0%5D=68.ARA7xHZ964lAmAThuurRiGYQ1FZxwnxgRs2juRv114zQzBaqDud7LjmgbMUmT2bkvzOvwXRWhpclDOmCnUjocANUglkzUt0sQoW3Z4G5d3Q3LXUgRJLKteVU7hSnscI3gXg3f1JbMF8MY4dlaXuaQSR8Vnw6RM1wyMGfMVdHGKyA-O4D0StNSsrBg0LlbCWlr2nTdDvJKP221YqQ0bgZtikabULJZcsto0B47yvX-F5N725HgXMwpGcVXd6Sw78S8LRLmZUKtFR2Ko2p7Xm5npV55N_az67wjV0HhDiZAc150bdZRgJuK13cPFafpxWbUyOgfRaJnp_g_RR70wd_DyBtuw&amp;__tn__=-R" TargetMode="External"/><Relationship Id="rId656" Type="http://schemas.openxmlformats.org/officeDocument/2006/relationships/hyperlink" Target="https://www.facebook.com/VOVHYD/videos/1026836904161742/" TargetMode="External"/><Relationship Id="rId863" Type="http://schemas.openxmlformats.org/officeDocument/2006/relationships/hyperlink" Target="https://www.facebook.com/rushi.dubey.79/videos/203987927426559/" TargetMode="External"/><Relationship Id="rId211" Type="http://schemas.openxmlformats.org/officeDocument/2006/relationships/hyperlink" Target="https://www.facebook.com/groups/indiaanimalforum/permalink/1279998892082353/" TargetMode="External"/><Relationship Id="rId295" Type="http://schemas.openxmlformats.org/officeDocument/2006/relationships/hyperlink" Target="https://www.facebook.com/groups/19045359536/permalink/10156977692769537/" TargetMode="External"/><Relationship Id="rId309" Type="http://schemas.openxmlformats.org/officeDocument/2006/relationships/hyperlink" Target="https://www.facebook.com/groups/goapetlife/permalink/2276360402463909/" TargetMode="External"/><Relationship Id="rId516" Type="http://schemas.openxmlformats.org/officeDocument/2006/relationships/hyperlink" Target="https://www.hindustantimes.com/gurgaon/gurgaon-when-dogs-put-residents-and-activists-at-odds/story-AUqDJFLK1BrKBwCuEIdr4N.html" TargetMode="External"/><Relationship Id="rId723" Type="http://schemas.openxmlformats.org/officeDocument/2006/relationships/hyperlink" Target="https://www.dawn.com/news/1463057" TargetMode="External"/><Relationship Id="rId930" Type="http://schemas.openxmlformats.org/officeDocument/2006/relationships/hyperlink" Target="https://www.facebook.com/groups/1382277738753927/permalink/2541030329545323/" TargetMode="External"/><Relationship Id="rId155" Type="http://schemas.openxmlformats.org/officeDocument/2006/relationships/hyperlink" Target="https://timesofindia.indiatimes.com/city/thane/Abandoned-pet-dogs-double-in-two-years/articleshow/50337071.cms" TargetMode="External"/><Relationship Id="rId362" Type="http://schemas.openxmlformats.org/officeDocument/2006/relationships/hyperlink" Target="https://www.thebetterindia.com/36788/a-dussehra-superstition-is-killing-this-beautiful-bird-heres-how-we-can-save-it/" TargetMode="External"/><Relationship Id="rId222" Type="http://schemas.openxmlformats.org/officeDocument/2006/relationships/hyperlink" Target="https://www.facebook.com/groups/1382277738753927/permalink/2372753669706324/" TargetMode="External"/><Relationship Id="rId667" Type="http://schemas.openxmlformats.org/officeDocument/2006/relationships/hyperlink" Target="https://m.facebook.com/story.php?story_fbid=915111638689324&amp;id=100005714887443" TargetMode="External"/><Relationship Id="rId874" Type="http://schemas.openxmlformats.org/officeDocument/2006/relationships/hyperlink" Target="https://www.timesnownews.com/mirror-now/crime/article/animal-cruelty-cops-beat-stray-dog-to-death-booked/548102" TargetMode="External"/><Relationship Id="rId17" Type="http://schemas.openxmlformats.org/officeDocument/2006/relationships/hyperlink" Target="https://www.facebook.com/abhinav.srihan/videos/10155022058002120/" TargetMode="External"/><Relationship Id="rId527" Type="http://schemas.openxmlformats.org/officeDocument/2006/relationships/hyperlink" Target="https://m.facebook.com/story.php?story_fbid=10154354301993259&amp;id=265906613258" TargetMode="External"/><Relationship Id="rId734" Type="http://schemas.openxmlformats.org/officeDocument/2006/relationships/hyperlink" Target="https://timesofindia.indiatimes.com/city/chandigarh/poacher-who-killed-sambar-traced-summoned/articleshow/68541500.cms" TargetMode="External"/><Relationship Id="rId941" Type="http://schemas.openxmlformats.org/officeDocument/2006/relationships/hyperlink" Target="https://www.news18.com/news/buzz/mp-teenagers-who-went-viral-on-tiktok-for-drowning-a-dog-in-a-pool-have-been-arrested-2637343.html" TargetMode="External"/><Relationship Id="rId70" Type="http://schemas.openxmlformats.org/officeDocument/2006/relationships/hyperlink" Target="https://www.facebook.com/PrayasINDIA/posts/994722850592376?__xts__%5B0%5D=68.ARCk5uBamcznJz7W-QKZB8kQrQZT84pCsdrpYRZO9DYywOCPHi52yV2_p58N3iN_vfjFqpK4d43NqzTUIScxyAwJpflhW20WhVvna-UkV5pUPvBBORl8hBwobWAPhVWdc2hstOwRogumvcjCh0z95P0MYWlz3WNkbnSXMAiR_shr-hGtEJ9tQFIZNCb2is_Tm7RGghvzErjyxBNPKwKmAaPFjqe699A97HvKjQJFIDhgEJJAMnbN00yHRmAt7__pwqsjLTZfLJtqxE1ulxet8QrHsOl9rqGbXmXT4R6ENyKiuPjQMVeb2OB9ue72V1R_LqwLqCAzz9tVUk44LmVX_uo&amp;__tn__=-R" TargetMode="External"/><Relationship Id="rId166" Type="http://schemas.openxmlformats.org/officeDocument/2006/relationships/hyperlink" Target="https://www.facebook.com/100028004443786/posts/249305546012925/?d=n" TargetMode="External"/><Relationship Id="rId373" Type="http://schemas.openxmlformats.org/officeDocument/2006/relationships/hyperlink" Target="https://www.indiatoday.in/fyi/story/women-fight-illegal-camel-trade-bangladesh-border-358633-2016-12-20" TargetMode="External"/><Relationship Id="rId580" Type="http://schemas.openxmlformats.org/officeDocument/2006/relationships/hyperlink" Target="https://www.hindustantimes.com/lucknow/truck-carrying-18-buffalo-calves-seized-in-aligarh-one-arrested/story-1M4xY4I1wEbFs2D1pmZ4gN.html" TargetMode="External"/><Relationship Id="rId801" Type="http://schemas.openxmlformats.org/officeDocument/2006/relationships/hyperlink" Target="https://www.facebook.com/332058007498381/posts/412696066101241/?d=n" TargetMode="External"/><Relationship Id="rId1" Type="http://schemas.openxmlformats.org/officeDocument/2006/relationships/hyperlink" Target="https://www.thehindu.com/news/cities/chennai/100-dogs-killed-stealthily-buried-in-village/article3394902.ece" TargetMode="External"/><Relationship Id="rId233" Type="http://schemas.openxmlformats.org/officeDocument/2006/relationships/hyperlink" Target="https://www.facebook.com/animalwelfareassociationofpanchkula/videos/2722692477770398/?__xts__%5B0%5D=68.ARA4oOl1U_4Oar1DJ_esH7-lJr250AvbbHinP0ZTF3u6SBzjqFsO_ah0g-ebuxLJW7CabaZNMML44ZXOCVfHdLOWXFz0Ti2gN4_VPLFsbgGQHUV7MOBVCzjHAMtHc2ErZAWUuQh-iDUQrSerR7s6OTO4bVQXSL3RG-19rek10_YYQQPxZ1usm3cR2JnUa5Wb7nGwE9h4zNwX6h6QYKtFGowCLb7dLFPBTGO5Zc66oPZF7-8coTaILs1LceIvhjCAZyMHEntmpaROYV-e66zSwU2GZ2KJD8WYLoaiG19cLYpRxzHdQF9vfjVVnxMFTwAe5xZ3fN6Z-Ea5NqHNiPehK_8CdwLF6EOtZZdNdKO2&amp;__tn__=-R" TargetMode="External"/><Relationship Id="rId440" Type="http://schemas.openxmlformats.org/officeDocument/2006/relationships/hyperlink" Target="https://www.timesnownews.com/mirror-now/in-focus/article/video-odisha-flying-snake-rescued-from-street-performer-released-in-forest/472379" TargetMode="External"/><Relationship Id="rId678" Type="http://schemas.openxmlformats.org/officeDocument/2006/relationships/hyperlink" Target="https://www.facebook.com/sfabbsr/videos/2259953087593955/?__xts__%5B0%5D=68.ARBVUonZN5WhrGcLZIJGYamtD7-op1tkg33KSLlGuPWdDlxFvhy09DtPkY1ksFtbuEVGx52L9iFC1ZBcz3ibKP3fipMKb2ihoFfKnANITFQ39zSzqu7s0U4W7Kss-HtRHe6jyAhk8X-_wDjMVXcteT9wNFGnxWPXyRkralJtXyv8tzg9Rd-4FSviVZ9-F68DBI_iC8E14usC3c-xH9oyZXNi0oYqgijSAim0NUnNcBNZZ7hBu-gbdyjqrBEXIOmf_ekQXdDhGhwkRv_U1zafXvFBj6r_UUo5yP19e6VbOhoUV2fs5oWH5t1pP0bOheq14whaaJRnVPEjY_FEXCe26RA33fmV-yYz1mc&amp;__tn__=-R" TargetMode="External"/><Relationship Id="rId885" Type="http://schemas.openxmlformats.org/officeDocument/2006/relationships/hyperlink" Target="https://indianexpress.com/article/cities/ludhiana/ludhiana-stray-dog-dragged-by-auto-thrown-from-rooftop-3-held-6253550/" TargetMode="External"/><Relationship Id="rId28" Type="http://schemas.openxmlformats.org/officeDocument/2006/relationships/hyperlink" Target="https://timesofindia.indiatimes.com/city/bhopal/on-day-two-rights-activists-cry-cruelty-towards-animals/articleshow/67579504.cms" TargetMode="External"/><Relationship Id="rId300" Type="http://schemas.openxmlformats.org/officeDocument/2006/relationships/hyperlink" Target="https://www.facebook.com/groups/871490746280065/permalink/2789915317770922/" TargetMode="External"/><Relationship Id="rId538" Type="http://schemas.openxmlformats.org/officeDocument/2006/relationships/hyperlink" Target="https://www.facebook.com/1490798644550799/posts/1612219322408730/?d=n" TargetMode="External"/><Relationship Id="rId745" Type="http://schemas.openxmlformats.org/officeDocument/2006/relationships/hyperlink" Target="https://m.facebook.com/story.php?story_fbid=2632901836737725&amp;id=100000538024102" TargetMode="External"/><Relationship Id="rId952" Type="http://schemas.openxmlformats.org/officeDocument/2006/relationships/hyperlink" Target="https://timesofindia.indiatimes.com/city/thiruvananthapuram/pregnant-cat-hung-from-rope-left-dead-police-register-case/articleshow/72014308.cms" TargetMode="External"/><Relationship Id="rId81" Type="http://schemas.openxmlformats.org/officeDocument/2006/relationships/hyperlink" Target="https://www.facebook.com/titas.mukherjee.737/posts/603711596474035?__xts__%5b0%5d=68.ARD0bzzsco0kFtFtDfspedjErsNdA3cIDe2SXNQx6F3rEFoIdsKaQ7kvPpRWmAVPj8k7qHm97IzFuvcVD_FYrRQzgpskdtxkHFnNt9hu22vWb07H6MvLVtlrNBzoUnupSKqz9XMCfF_VXzuw18M0SZDEUTi0NXm5-RcmO8zW7E" TargetMode="External"/><Relationship Id="rId177" Type="http://schemas.openxmlformats.org/officeDocument/2006/relationships/hyperlink" Target="https://m.facebook.com/story.php?story_fbid=1666138513532241&amp;id=100004083241188" TargetMode="External"/><Relationship Id="rId384" Type="http://schemas.openxmlformats.org/officeDocument/2006/relationships/hyperlink" Target="http://www.christianpost.com/news/elephant-that-had-suffered-for-50-years-in-hindu-temple-gets-rescued-188513/" TargetMode="External"/><Relationship Id="rId591" Type="http://schemas.openxmlformats.org/officeDocument/2006/relationships/hyperlink" Target="https://indianexpress.com/article/cities/delhi/3-held-for-killing-calf-in-naraina-4859689/" TargetMode="External"/><Relationship Id="rId605" Type="http://schemas.openxmlformats.org/officeDocument/2006/relationships/hyperlink" Target="https://www.facebook.com/groups/thepound/permalink/2000486713295151/" TargetMode="External"/><Relationship Id="rId812" Type="http://schemas.openxmlformats.org/officeDocument/2006/relationships/hyperlink" Target="https://timesofindia.indiatimes.com/city/rajkot/4-villagers-torture-a-leopard-cub-video-goes-viral/articleshow/71570460.cms" TargetMode="External"/><Relationship Id="rId244" Type="http://schemas.openxmlformats.org/officeDocument/2006/relationships/hyperlink" Target="https://www.facebook.com/HIS.Jaipur/posts/3226399254098843?__xts__%5B0%5D=68.ARDGc8NdbUDwD2ipgn1d0axuyGQYF1Lp52Ec9tKUbrDVu6czede9u56sC6G8WwVfq2tAu7igpfuJtvAzoVR6kzc9zwdGeTDwqszbGJvlZGTcLovths2-Xobk9MOEKwJUC50TxOgC-gK1mDy6fcH3xU5KZDjgXxVVdUnD8NVNv2NpHX1fCRTaG8HN3nAXLh_AhxIw7DWVR_Dm-iR6dQfSLHNf281Aw8riR0uloEfGdX2s9LOLUL7AIlhk8DoVSKcCCywwNsrsebqzGWobQp2gF322kCV8KoBawGz5rCvqsxt6NAvgm1tD_vuH-ENwSIZbT3Fnqp5xAcudV3NZLJVanABcaA&amp;__tn__=-R" TargetMode="External"/><Relationship Id="rId689" Type="http://schemas.openxmlformats.org/officeDocument/2006/relationships/hyperlink" Target="https://m.facebook.com/story.php?story_fbid=961377554062732&amp;id=100005714887443" TargetMode="External"/><Relationship Id="rId896" Type="http://schemas.openxmlformats.org/officeDocument/2006/relationships/hyperlink" Target="https://www.facebook.com/groups/indiaanimalforum/permalink/2744745038941057/" TargetMode="External"/><Relationship Id="rId39" Type="http://schemas.openxmlformats.org/officeDocument/2006/relationships/hyperlink" Target="https://www.facebook.com/abhinav.srihan/posts/10153309363022120" TargetMode="External"/><Relationship Id="rId451" Type="http://schemas.openxmlformats.org/officeDocument/2006/relationships/hyperlink" Target="https://www.indiatoday.in/india/story/gujarat-300-spiny-tailed-lizards-allegedly-killed-in-bhuj-1651243-2020-03-01" TargetMode="External"/><Relationship Id="rId549" Type="http://schemas.openxmlformats.org/officeDocument/2006/relationships/hyperlink" Target="https://www.petaindia.com/blog/peta-shillong-locals-police-rescue-dogs-slaughter/" TargetMode="External"/><Relationship Id="rId756" Type="http://schemas.openxmlformats.org/officeDocument/2006/relationships/hyperlink" Target="https://www.facebook.com/1490798644550799/posts/2126357967661527/?vh=e&amp;d=n" TargetMode="External"/><Relationship Id="rId104" Type="http://schemas.openxmlformats.org/officeDocument/2006/relationships/hyperlink" Target="https://www.facebook.com/himani.gsingh/posts/10214244967027113?__xts__%5B0%5D=68.ARCrYJWuR_fef8FcU5ilQVzPQIXE0bfilM2MRAexhXE3KF-Aon6UI7VWkw50Q4Hr7RG2sb-kVB_cddwRMBq6hL_wfNr6CloBdFxbuCpM0oO9grJe1imItH2qekorN_U0FFs6vYY9PuRbSWhGlAJ_9n_VSwvcsQZPatXHUtSyYAXAirXf9PBpYI2WvipHWObBjaEb3M_V4AceFsv-WlsUc7cYmlY1GRnaLWA_NTF6C8ZINz2C4Lcg_UBNOA9gqfTuh8EVPu_EnicTyaX_nb1I9EstoApFSZRjyamNz2zKULMPy5ozWQ&amp;__tn__=-RHH-R" TargetMode="External"/><Relationship Id="rId188" Type="http://schemas.openxmlformats.org/officeDocument/2006/relationships/hyperlink" Target="https://timesofindia.indiatimes.com/city/ghaziabad/help-pours-in-for-dog-locked-inside-ghaziabad-house-for-past-7-days/articleshow/69426770.cms" TargetMode="External"/><Relationship Id="rId311" Type="http://schemas.openxmlformats.org/officeDocument/2006/relationships/hyperlink" Target="https://www.facebook.com/friendicoesindia/posts/10158091332434675?__xts__%5B0%5D=68.ARBI_WrWkAJj6CLr8YD-E8lYFS2Ap3zOerqtPaGe6VUUAxzrLk4UtMgmuZBDbyvdKCbLY68QaEJMDgJ2tLA3PKzL-qF-X_tZHRn3XeNVFDHhe7ZrO0oJlHp0TPfeYSC87uZ1rjBrIeXW0Q0nRm7r8pR5X2NfYvs5-jphbvGQ46G27oqdC32IRQJAIy4FSCvkwIOYnajqYUDNa777p3AdIaIBx9rpunwfFYzmEZBNIcCvjEAp-Bx1OQ-Gg6HllF4h7KMojt4tF0Tpmw70RyF-Vf0VQPKdFoPtfmJe65bz8TaKPfEdDliCs214xfKzhE1P-1yeZG5Mf0VUe8QVbw&amp;__tn__=-R" TargetMode="External"/><Relationship Id="rId395" Type="http://schemas.openxmlformats.org/officeDocument/2006/relationships/hyperlink" Target="https://www.facebook.com/AnimalAidUnlimited/videos/10155656016903259/?__xts__%5B0%5D=68.ARAidPkfr1yZqhg1ixYR_Qh5npj9tmWm9YUoRdg6wj1m0SOTso68ZQI1q7xWoJfZ2RzGnj2PQ8mwYn0yyLU2Jl74hOzn20AWbTo0YvusNY8IxACLQop0k5f2J2BDCRrHL6aLg-w5V1nL-DSItTysGog0D0jWOsyNgBzL2jePXIKd3E-_OcnKdaCLQ9lbzn9MmpHK-l8KVJbHSJt4-sxlxeF0eYnNkP3H6dpeH59WM7oYx9kFM81c5JawMF3liVYgILQmCsKqlThmG1EOWwGnFuH3ieo9iw2tPuH5br6spFJj8V6ilO75DBOaQm9rTT6LOi0C0hV8T2CXSazZiiqHA4iVK9Q4GQ&amp;__tn__=-R" TargetMode="External"/><Relationship Id="rId409" Type="http://schemas.openxmlformats.org/officeDocument/2006/relationships/hyperlink" Target="https://timesofindia.indiatimes.com/city/bhopal/fir-sought-against-madhya-pradesh-minister-for-forcible-wedding-of-frogs/articleshow/64735942.cms" TargetMode="External"/><Relationship Id="rId963" Type="http://schemas.openxmlformats.org/officeDocument/2006/relationships/hyperlink" Target="https://www.indiatoday.in/trending-news/story/karnataka-forest-department-staffer-shoots-elephant-in-bandipur-national-park-sacked-1654808-2020-03-12" TargetMode="External"/><Relationship Id="rId92" Type="http://schemas.openxmlformats.org/officeDocument/2006/relationships/hyperlink" Target="https://www.facebook.com/AWTEOdisha/posts/1963543877206326?__xts__%5B0%5D=68.ARC8J65ev4o75ynPU9vKQClQZ0oc3m65bNvrUkFlQrdoaqmRlIbgfbmcB6JH6gY3aAGzmQttQrwNl6a2KvbWodHdMIMUhEflXEuMgH7JNdXuZCn-5ep4yg48Pnt1ySI28gcCJS8V4xYneOgDCT3VWUtdgEGQVlTFt9Zb3bLoDPNcAQWfessxQ37OuSaJzy_ce_yFMnFP7m5fEcrVXyFKihfz6m6a9DB5BzFPy9zGJaq66d4QETA_UrXBv4t0sKccpHC5bokoKfWIPJHHLtsXFU7rKIIf696uB6f_Ufnmmuu42bYJWshkrqgookVxPmPm8kz1TLVVwNCvfkNlDSnfdTLw8cUT&amp;__tn__=-R" TargetMode="External"/><Relationship Id="rId616" Type="http://schemas.openxmlformats.org/officeDocument/2006/relationships/hyperlink" Target="https://m.facebook.com/story.php?story_fbid=171299276818523&amp;id=113137995967985" TargetMode="External"/><Relationship Id="rId823" Type="http://schemas.openxmlformats.org/officeDocument/2006/relationships/hyperlink" Target="https://www.sirfnews.com/bengal-villagers-kill-vulnerable-fishing-cat-queue-up-for-unseemly-selfies/" TargetMode="External"/><Relationship Id="rId255" Type="http://schemas.openxmlformats.org/officeDocument/2006/relationships/hyperlink" Target="https://www.facebook.com/photo.php?fbid=1237774376423047&amp;set=a.167004873500008&amp;type=3" TargetMode="External"/><Relationship Id="rId297" Type="http://schemas.openxmlformats.org/officeDocument/2006/relationships/hyperlink" Target="https://www.facebook.com/SMARTSANCTUARY/videos/1507117682774730/?__xts__%5B0%5D=68.ARDMnEca0yyjxxhQu-vU8cYaBi_Xjkm-Bufcz-qoJWhQoAn6QwNz9q8IJRj7x25-B0SeX-3_YGyy6AvWN2_idtqaP4LcWvupt9O1v2hGIXfA2xAF1v3Sahss4z7Suny4C9yPNjcFXSJww9R47V7xhmiCm3P-OVl8krUJXarmeV6iY4D_GkFEVGqQNx72iGZ42IwQSyeVwMEld4120IfQKBk542IBxNcud3hRuzD08aL8kR_Q0Ai641c79-jqOrSTI7iA3_91gVcePTaY47oUH_7uJxLQiUEzn8AFx1wlL3OMtQc25CfvCOR3xEOOwFo0nDlM4WXLzvr5ufrQHJ5os36rsVAOxGYc7xzt5Ubpvf4Ak2baMXjHPmrlSp9SK4QODPP2j_aBW9-jLpJs69bRwWoNsXCMQiEdfMvOOn6pNXGfNEeJi2ndg-5ybQ&amp;__tn__=H-R" TargetMode="External"/><Relationship Id="rId462" Type="http://schemas.openxmlformats.org/officeDocument/2006/relationships/hyperlink" Target="https://scroll.in/article/960038/a-sloth-bear-saved-from-torture-is-now-caught-in-a-tug-of-war-between-nepal-and-indian-activists" TargetMode="External"/><Relationship Id="rId518" Type="http://schemas.openxmlformats.org/officeDocument/2006/relationships/hyperlink" Target="https://www.instagram.com/p/BFksP_durvp/?utm_source=ig_web_copy_link" TargetMode="External"/><Relationship Id="rId725" Type="http://schemas.openxmlformats.org/officeDocument/2006/relationships/hyperlink" Target="https://www.timesnownews.com/mirror-now/crime/article/haryana-kurukshetra-ismailabad-three-booked-pet-dog-poison-death-days-after-birth-five-puppies/369622" TargetMode="External"/><Relationship Id="rId932" Type="http://schemas.openxmlformats.org/officeDocument/2006/relationships/hyperlink" Target="https://www.facebook.com/groups/sgacc/permalink/2849603675105511/" TargetMode="External"/><Relationship Id="rId115" Type="http://schemas.openxmlformats.org/officeDocument/2006/relationships/hyperlink" Target="https://www.hindustantimes.com/gurgaon/gurgaon-nine-dogs-of-foreign-breed-rescued-from-a-bungalow-at-sec-67/story-16eam43Z25kD0aNWbXVfXM.html" TargetMode="External"/><Relationship Id="rId157" Type="http://schemas.openxmlformats.org/officeDocument/2006/relationships/hyperlink" Target="https://www.assistinganimals.com/" TargetMode="External"/><Relationship Id="rId322" Type="http://schemas.openxmlformats.org/officeDocument/2006/relationships/hyperlink" Target="https://www.facebook.com/1801668150060567/posts/2831478480412857/?vh=e" TargetMode="External"/><Relationship Id="rId364" Type="http://schemas.openxmlformats.org/officeDocument/2006/relationships/hyperlink" Target="https://www.facebook.com/PrayasINDIA/posts/1074792865918707?__xts__%5B0%5D=68.ARBIharmlsMgbldeYPAP1ZNWMxBCosEfIM8dEN4zhFDuwwUp7aYPDeM7PGyqCm6ZKI8dIE0mMk5-jS9PfPlcfMqN9iAD8y_R9keKRQdEy2FLZILjHOnyPmBYaSU86oeOWpAz4xukZH7IPqnkQvfJ-Xr813SGY0Bh3txuzgQZbXXOZVHVFWLoZS3iTWlXNtfMZxvVHyEEIGV7azsdRwKbohXvba-S6jXJhrkbQf2I_QXxBjYzBT_gS2zv2gynOkrcH_uoOL4rnwHepr79mqM9L9uT3irW9jn4Uv2SoHAVDXume8FFL_-wHzBvk7-LM5Te5O12vq0k21CubR7OTgJ0If6gCA&amp;__tn__=-R" TargetMode="External"/><Relationship Id="rId767" Type="http://schemas.openxmlformats.org/officeDocument/2006/relationships/hyperlink" Target="https://www.facebook.com/groups/PALThane/permalink/2370581586324206/" TargetMode="External"/><Relationship Id="rId61" Type="http://schemas.openxmlformats.org/officeDocument/2006/relationships/hyperlink" Target="https://www.facebook.com/groups/thepound/permalink/2329258940417925/" TargetMode="External"/><Relationship Id="rId199" Type="http://schemas.openxmlformats.org/officeDocument/2006/relationships/hyperlink" Target="https://m.facebook.com/story.php?story_fbid=126147698626874&amp;id=100036949339564" TargetMode="External"/><Relationship Id="rId571" Type="http://schemas.openxmlformats.org/officeDocument/2006/relationships/hyperlink" Target="https://www.hindustantimes.com/gurgaon/gurgaon-missing-dog-case-suspect-tells-cops-he-ate-dog-meat-but-not-brownie/story-XlB9MBP3C6GN2mUsCxNDGJ.html" TargetMode="External"/><Relationship Id="rId627" Type="http://schemas.openxmlformats.org/officeDocument/2006/relationships/hyperlink" Target="https://www.facebook.com/vishal.sodhi/videos/10214913115677640/?query=cruelty&amp;epa=SEARCH_BOX" TargetMode="External"/><Relationship Id="rId669" Type="http://schemas.openxmlformats.org/officeDocument/2006/relationships/hyperlink" Target="https://www.facebook.com/groups/PALThane/permalink/1924879450894424/" TargetMode="External"/><Relationship Id="rId834" Type="http://schemas.openxmlformats.org/officeDocument/2006/relationships/hyperlink" Target="https://www.facebook.com/groups/PALThane/permalink/2638960209486341/" TargetMode="External"/><Relationship Id="rId876" Type="http://schemas.openxmlformats.org/officeDocument/2006/relationships/hyperlink" Target="https://timesofindia.indiatimes.com/city/bareilly/two-arrested-for-killing-birds/articleshow/73709397.cms" TargetMode="External"/><Relationship Id="rId19" Type="http://schemas.openxmlformats.org/officeDocument/2006/relationships/hyperlink" Target="https://timesofindia.indiatimes.com/city/gurgaon/activist-files-plea-in-high-court-against-mcg-for-animal-cruelty/articleshow/63250866.cms" TargetMode="External"/><Relationship Id="rId224" Type="http://schemas.openxmlformats.org/officeDocument/2006/relationships/hyperlink" Target="https://www.facebook.com/animalwelfareassociationofpanchkula/posts/2558901497670811?__xts__%5B0%5D=68.ARC--Fh3NzzxuZ0CRbuF_zHmFpW9-b4msO4-YMmB-EVR_TUT_pejBLg43YojnZTfNkYo74dq6sxyhhA-yYl7Ams8vLt8AKX7qvWzuQ7pu9ZZ35SRPj9nO8NnSJip1250josH_ERnxAq2_GyrQ3l_LIAGzoXV7o8EagCPIqDly00jyOsrfgOwF58wHbJ3wleRJJ2UqzjD-mpMP-BdWd4oZmNlsKvnu9u7uIwEl30FCnscLfFJElvjnQAx0_5sJhbewdMfxcnAD1llNtr33f_0XoMNTilGkYrmTjIt7y4IHNcyq69DBVTE2uHB59ztFJBDiwyc5UfMBa3qBc8wece0MYh8uLv2&amp;__tn__=-R" TargetMode="External"/><Relationship Id="rId266" Type="http://schemas.openxmlformats.org/officeDocument/2006/relationships/hyperlink" Target="https://www.facebook.com/vosd.in/posts/2785402458170135?__xts__%5B0%5D=68.ARBHM5kVcLJfdLsZAuMAnqqKinJpFzDhMkVZ7LOTcNp_zBFJjxB4Hk8NG4vKhCbCpo89gBi_5o0qcmJDxiqolbH4MDi7Te7_qAlU-4KXsBgYURwnfasZfMwsV0I0W35AUdG3l8bpLX4uaBdzTrX3SsPuga5hwCcZOCbBiUVIXQsMQ1RrDOZKrz1RGdWHLyMy7vLS0ayMZX8GtoR7Fsd4HgdnZBudGzr5Msfh30QxnLPXGF5CR1UbG1qlPVJqtP6cw2raXGHwbltNe6VGXAjpoupKd4uAeaOx8XMBlxJ2DL-0_h-qnXaA0jDrqtMEmq2BMsh31A2Z9FV_lq-lrP0s5rkzyw&amp;__tn__=-R" TargetMode="External"/><Relationship Id="rId431" Type="http://schemas.openxmlformats.org/officeDocument/2006/relationships/hyperlink" Target="https://www.scmp.com/lifestyle/travel-leisure/article/3014466/clairvoyant-parrots-india-dying-breed-astrologers-birds" TargetMode="External"/><Relationship Id="rId473" Type="http://schemas.openxmlformats.org/officeDocument/2006/relationships/hyperlink" Target="https://drive.google.com/file/d/1k5eAjxMrj68rTo1xNHo2oA8FD9slpXZW/view?usp=sharing" TargetMode="External"/><Relationship Id="rId529" Type="http://schemas.openxmlformats.org/officeDocument/2006/relationships/hyperlink" Target="https://www.business-standard.com/article/pti-stories/five-get-three-years-in-jail-for-animal-cruelty-119041000174_1.html" TargetMode="External"/><Relationship Id="rId680" Type="http://schemas.openxmlformats.org/officeDocument/2006/relationships/hyperlink" Target="https://www.facebook.com/groups/indiaanimalforum/permalink/1926167187465517/" TargetMode="External"/><Relationship Id="rId736" Type="http://schemas.openxmlformats.org/officeDocument/2006/relationships/hyperlink" Target="https://m.facebook.com/story.php?story_fbid=2557984950939400&amp;id=100001837612624" TargetMode="External"/><Relationship Id="rId901" Type="http://schemas.openxmlformats.org/officeDocument/2006/relationships/hyperlink" Target="https://www.facebook.com/groups/19045359536/permalink/10157058219509537/" TargetMode="External"/><Relationship Id="rId30" Type="http://schemas.openxmlformats.org/officeDocument/2006/relationships/hyperlink" Target="https://www.facebook.com/groups/sgacc/permalink/2196360233763195/" TargetMode="External"/><Relationship Id="rId126" Type="http://schemas.openxmlformats.org/officeDocument/2006/relationships/hyperlink" Target="https://www.facebook.com/watch/?v=369526580262197" TargetMode="External"/><Relationship Id="rId168" Type="http://schemas.openxmlformats.org/officeDocument/2006/relationships/hyperlink" Target="https://m.facebook.com/story.php?story_fbid=566718620508316&amp;id=560466101133568" TargetMode="External"/><Relationship Id="rId333" Type="http://schemas.openxmlformats.org/officeDocument/2006/relationships/hyperlink" Target="https://drive.google.com/file/d/1FynK4HCHJc2I1awK9zzJ09y3LuWjSbJa/view?usp=sharing" TargetMode="External"/><Relationship Id="rId540" Type="http://schemas.openxmlformats.org/officeDocument/2006/relationships/hyperlink" Target="https://www.facebook.com/groups/436469783144589/permalink/535634983228068/" TargetMode="External"/><Relationship Id="rId778" Type="http://schemas.openxmlformats.org/officeDocument/2006/relationships/hyperlink" Target="https://www.facebook.com/PrayasINDIA/videos/705229559940583/?__xts__%5B0%5D=68.ARAXLr9Yv3JTy0YnHXwA17ojesGeo5qYWcOxeEjffwtJ4kSbHzJS2oLgNEJ4ZIWyoIaoM3pEnRQhpVM4boy9ybn38Jq6MvG-25Sq10b5TpnTKhLdvQlIPsMWLaawbVolZbIM8C7felFJ7FdU5K1bXRrYbOoVhqxRHwJIjJw34QQUy6pJjUHP43qhddo0e151ID9MpP0dEqrqu64Tfz3E6XYKzdJA25pw2bGT6l_pDKxLPhCkMPg8qCfpkSOJP_hiyXiC32oGUcsdx_XkWUID0OYUWt4s9qIHWSK3d1d37NsXhSQKKkvZmUbxwQOHBDrzX6o2CyB-4XBcfoT8lAw5M520vCIEIHzj76iG4g&amp;__tn__=-R" TargetMode="External"/><Relationship Id="rId943" Type="http://schemas.openxmlformats.org/officeDocument/2006/relationships/hyperlink" Target="https://m.facebook.com/story.php?story_fbid=3586581784715687&amp;id=100000917038965" TargetMode="External"/><Relationship Id="rId72" Type="http://schemas.openxmlformats.org/officeDocument/2006/relationships/hyperlink" Target="https://www.assistinganimals.com/" TargetMode="External"/><Relationship Id="rId375" Type="http://schemas.openxmlformats.org/officeDocument/2006/relationships/hyperlink" Target="https://www.firstpost.com/india/cruel-festivals-in-karnataka-destroy-the-concept-of-animal-rights-and-need-to-be-wiped-out-3228116.html" TargetMode="External"/><Relationship Id="rId582" Type="http://schemas.openxmlformats.org/officeDocument/2006/relationships/hyperlink" Target="https://www.facebook.com/AnimalAidUnlimited/videos/10155656016903259/?__xts__%5B0%5D=68.ARAidPkfr1yZqhg1ixYR_Qh5npj9tmWm9YUoRdg6wj1m0SOTso68ZQI1q7xWoJfZ2RzGnj2PQ8mwYn0yyLU2Jl74hOzn20AWbTo0YvusNY8IxACLQop0k5f2J2BDCRrHL6aLg-w5V1nL-DSItTysGog0D0jWOsyNgBzL2jePXIKd3E-_OcnKdaCLQ9lbzn9MmpHK-l8KVJbHSJt4-sxlxeF0eYnNkP3H6dpeH59WM7oYx9kFM81c5JawMF3liVYgILQmCsKqlThmG1EOWwGnFuH3ieo9iw2tPuH5br6spFJj8V6ilO75DBOaQm9rTT6LOi0C0hV8T2CXSazZiiqHA4iVK9Q4GQ&amp;__tn__=-R" TargetMode="External"/><Relationship Id="rId638" Type="http://schemas.openxmlformats.org/officeDocument/2006/relationships/hyperlink" Target="https://indianexpress.com/article/cities/delhi/delhi-man-son-arrested-for-beating-stray-dog-to-death-5151935/" TargetMode="External"/><Relationship Id="rId803" Type="http://schemas.openxmlformats.org/officeDocument/2006/relationships/hyperlink" Target="https://timesofindia.indiatimes.com/city/bareilly/man-hacks-stray-dogs-paws-for-excessive-barking/articleshow/71238670.cms" TargetMode="External"/><Relationship Id="rId845" Type="http://schemas.openxmlformats.org/officeDocument/2006/relationships/hyperlink" Target="https://www.facebook.com/groups/help.animals.birds/permalink/2488305551425607/" TargetMode="External"/><Relationship Id="rId3" Type="http://schemas.openxmlformats.org/officeDocument/2006/relationships/hyperlink" Target="https://timesofindia.indiatimes.com/city/bhopal/Bhopal-Municipal-Corporation-faces-howls-of-protest-over-catching-of-stray-dogs/articleshow/13828213.cms" TargetMode="External"/><Relationship Id="rId235" Type="http://schemas.openxmlformats.org/officeDocument/2006/relationships/hyperlink" Target="https://www.hindustantimes.com/india-news/locked-in-room-17-cows-die-of-starvation-in-gwalior/story-Zu7v64fk8FeudRTcXUPD5I.html" TargetMode="External"/><Relationship Id="rId277" Type="http://schemas.openxmlformats.org/officeDocument/2006/relationships/hyperlink" Target="https://www.facebook.com/groups/indiaanimalforum/permalink/2657125874369641/" TargetMode="External"/><Relationship Id="rId400" Type="http://schemas.openxmlformats.org/officeDocument/2006/relationships/hyperlink" Target="https://www.youtube.com/watch?v=4-fcs-e0Iac" TargetMode="External"/><Relationship Id="rId442" Type="http://schemas.openxmlformats.org/officeDocument/2006/relationships/hyperlink" Target="https://www.youtube.com/watch?v=D514GxjfOkw" TargetMode="External"/><Relationship Id="rId484" Type="http://schemas.openxmlformats.org/officeDocument/2006/relationships/hyperlink" Target="https://timesofindia.indiatimes.com/city/chandigarh/Dog-dies-after-being-hit-by-university-guard-case-registered/articleshow/46810202.cms" TargetMode="External"/><Relationship Id="rId705" Type="http://schemas.openxmlformats.org/officeDocument/2006/relationships/hyperlink" Target="https://m.facebook.com/story.php?story_fbid=2421207304573847&amp;id=100000538024102" TargetMode="External"/><Relationship Id="rId887" Type="http://schemas.openxmlformats.org/officeDocument/2006/relationships/hyperlink" Target="https://www.facebook.com/sfabbsr/posts/1199091700284049?__xts__%5B0%5D=68.ARC5HF2Ad0dSuYNy91WLLQToklWFleopo4eFHfhM-foT_ViaRPBFKv5X9iGfpbwvbkDr6E9HUezGmnUpv15PRXQi1GndBuc53KF0neqbDIpjljTTqi27NQ2yCc7tnUmb9IIBCnzg5NLxynH7n8pDcWxsO903OQK52FsowMzWVUDSlxu9Zoah5js9RFaCw41RHls7ISg5svNrl4fJhZixnruD4Msfk5AS3CPtlS4AQsMAzFwNkDwaWs70jsumbWEsa3XUEGrItawxkseSeWpkRKCeNT_0N64CUZQYCDCE3F2KgyKWIEN5s9IA_IWQ3yOJ-fW7AllWreJ2GEqvRMQoRU0rwA&amp;__tn__=-R" TargetMode="External"/><Relationship Id="rId137" Type="http://schemas.openxmlformats.org/officeDocument/2006/relationships/hyperlink" Target="https://www.facebook.com/PrayasINDIA/videos/1926506090747376/?__xts__%5B0%5D=68.ARBKtxmtXFO2lsosnAfppsG1iLD7ZoEw2Mj7ToTWVhLDDHI6UQzuIA_SkGX6R4lwI_Zi2MQ023PUBInMVXOduQ_8hWmfcHxslL2A87I72PxOZkldHllg8xa1JN3D0ImD5yHXOtXJdspE9_fX32mx4znwbNcU3OOkAHsnrPlEE7Ldm0kobliHju2qkDxwtO5zAusT98u8_7kHQVHs3fhR2HSAqX94HVvNLBc8nEWJq4rhSTfHo3HWFPN9mdGbjHIrcKjAhAOxX4ZP9YNnznKufNMw-qVisF7IR17sZNzsVHXU55XPDqLc6h9zl_g63dPq87y58hJhEC1qJiJYPwqYwzQFl-LUJdoz9OkWAQ&amp;__tn__=-R" TargetMode="External"/><Relationship Id="rId302" Type="http://schemas.openxmlformats.org/officeDocument/2006/relationships/hyperlink" Target="https://www.facebook.com/groups/PALThane/permalink/2877356372313389/" TargetMode="External"/><Relationship Id="rId344" Type="http://schemas.openxmlformats.org/officeDocument/2006/relationships/hyperlink" Target="http://www.sunday-guardian.com/investigation/owl-sacrifice-makes-for-big-illegal-business" TargetMode="External"/><Relationship Id="rId691" Type="http://schemas.openxmlformats.org/officeDocument/2006/relationships/hyperlink" Target="https://m.facebook.com/story.php?story_fbid=2477633192263703&amp;id=100000511394134" TargetMode="External"/><Relationship Id="rId747" Type="http://schemas.openxmlformats.org/officeDocument/2006/relationships/hyperlink" Target="https://www.indiatimes.com/trending/wtf/heartbreaking-bear-falls-into-river-after-stones-thrown-at-it-in-jammu-kashmir-s-kargil-367063.html" TargetMode="External"/><Relationship Id="rId789" Type="http://schemas.openxmlformats.org/officeDocument/2006/relationships/hyperlink" Target="https://timesofindia.indiatimes.com/city/kolkata/acid-attack-on-dog-fir-lodged-cops-start-probe/articleshow/70952370.cms" TargetMode="External"/><Relationship Id="rId912" Type="http://schemas.openxmlformats.org/officeDocument/2006/relationships/hyperlink" Target="https://www.facebook.com/groups/1382277738753927/permalink/2525822651066091/" TargetMode="External"/><Relationship Id="rId954" Type="http://schemas.openxmlformats.org/officeDocument/2006/relationships/hyperlink" Target="https://indianexpress.com/article/india/up-cow-dies-at-shelter-due-to-cold-executive-officer-je-booked-6212742/" TargetMode="External"/><Relationship Id="rId41" Type="http://schemas.openxmlformats.org/officeDocument/2006/relationships/hyperlink" Target="https://www.facebook.com/pfakollam/videos/vb.840811579305912/351786778720090/?type=2&amp;theater" TargetMode="External"/><Relationship Id="rId83" Type="http://schemas.openxmlformats.org/officeDocument/2006/relationships/hyperlink" Target="https://www.facebook.com/PAWSDumDum/photos/a.1532136200417043/1587832551514074/?type=3" TargetMode="External"/><Relationship Id="rId179" Type="http://schemas.openxmlformats.org/officeDocument/2006/relationships/hyperlink" Target="https://www.facebook.com/VOVHYD/posts/1223942214451209?__xts__%5B0%5D=68.ARCBbFazQCkR6EUOIaqz1yyXLaC1mZy6QEi4ZUn64oAOhsVJ1KrKVq9vbiWlNxIF9mtvhpO2h8rblh6l8a0MRdWXpJ2hGTi1YI7nPApWQUVvc5pbpg6e7_dfTQmL--EPRxJs2ZUSvjRZCjzXcEkLA5DWPNP4Z1v5ji9TgMW8YNEVp1cM63C9FeSbvotIAV8A3oHYjLWwVBi5KR-C1qPwHl3VlI6rsqU9U-Q-Ubvxw2cRqRQXtmvOsNMol7-A6um_9YA9FICgs5-V4PY2g7o7dRckuatXWl6LzNe3DQS2ANdM0zELz7Q8Qhmo51uQn0OGFh6E8kpHwhqzMyTiLxYTMI0S5g&amp;__tn__=-R" TargetMode="External"/><Relationship Id="rId386" Type="http://schemas.openxmlformats.org/officeDocument/2006/relationships/hyperlink" Target="https://m.facebook.com/story.php?story_fbid=1554465734625545&amp;id=336779206394210" TargetMode="External"/><Relationship Id="rId551" Type="http://schemas.openxmlformats.org/officeDocument/2006/relationships/hyperlink" Target="https://m.facebook.com/story.php?story_fbid=10154570631198259&amp;id=265906613258" TargetMode="External"/><Relationship Id="rId593" Type="http://schemas.openxmlformats.org/officeDocument/2006/relationships/hyperlink" Target="https://www.facebook.com/475635559190497/posts/1514606371960072?sfns=mo" TargetMode="External"/><Relationship Id="rId607" Type="http://schemas.openxmlformats.org/officeDocument/2006/relationships/hyperlink" Target="https://www.facebook.com/AnimalAidUnlimited/videos/10156023271018259/?__xts__%5B0%5D=68.ARDP2SjCLF2FisEdlhgrAru482_98Xg7BWQUy7r0P9TUmgzR1raypJYk55HJuP7WhDagUHcipZpbWsqBFR4rSPPIAhcGbHEnfCcU9ZNk10u-Uodd3EHT7TvUnlUq6FoSVv74UFXjRZPWcR1Jr07UtK-l1SGE_3fUeNQI6PGCccgcg9I69BPyf_4xvbwQ_r4RLWpQh54hcaM5LNydJiWSa10oZ4_NkPqfj44IOOT8C9qgqXW5QCuZ7ZqwQ2vISki5HZnCnL0CvNXwlSGyhK1sIpoGUsa61Qxfpju8xV-v7yIZzspHMWoOEX_vX_nlL6bcYXqmJ8_Ura2AfYvpVet9zoT1RX6-wBBE&amp;__tn__=-R" TargetMode="External"/><Relationship Id="rId649" Type="http://schemas.openxmlformats.org/officeDocument/2006/relationships/hyperlink" Target="https://m.facebook.com/story.php?story_fbid=1872299359500810&amp;id=100001622930010" TargetMode="External"/><Relationship Id="rId814" Type="http://schemas.openxmlformats.org/officeDocument/2006/relationships/hyperlink" Target="https://www.google.com/amp/s/m.himachal.punjabkesari.in/national/news/tik-tok-video-1068740%3famp" TargetMode="External"/><Relationship Id="rId856" Type="http://schemas.openxmlformats.org/officeDocument/2006/relationships/hyperlink" Target="https://m.facebook.com/groups/114243695324551?view=permalink&amp;id=2674455109303384" TargetMode="External"/><Relationship Id="rId190" Type="http://schemas.openxmlformats.org/officeDocument/2006/relationships/hyperlink" Target="https://www.facebook.com/PrayasINDIA/posts/2348709268527054?__xts__%5B0%5D=68.ARAWUZppqBkkOv0r5TUFwT2qLCn1u3OwMTzITogWFMKt70h0Yomd3LQE46E3DY0l_F1InI-S1RlyzTG-bs6s4G0OePK9VMN0WFRUueoa9zksqT80hv1b3YWSVjGheyamgtfqHF7uYnJRvdiA2FBvEO67Rn0kMvbaEoWq3IKPKs02u5oeD8rhZqK5zi4oO0fI7vl1rgi8xeSY1E4jdQgiiRRHbQaOjTbYVBeB7t_YR0Gdyy5Fe0dyspuHXodMFdDTiON55uj_sjU-ZiCz9MVF6W_z6ZXU_2P3iNTi-794rkxvU-WYufQvXk0MWjI_gWyVmuOf5IKXyBLrbKtbniZV3seBDW4y8-nvf40wEj7M4pNsfIOcrh_EwD2m1Efj9iuUB7riK47WHfbZ5mZjf_De4fCINDlDRAT8f3_17fztKRKnSR9fr5GPQ-IPfF6XoHuKBMBvtbVo8GEeVrZohjFQu9IoX9khVVZALchkwqm9MK98kc84xSSYvp_gcGs7BusFnw&amp;__tn__=-R" TargetMode="External"/><Relationship Id="rId204" Type="http://schemas.openxmlformats.org/officeDocument/2006/relationships/hyperlink" Target="https://www.timesnownews.com/the-buzz/article/pet-dog-abandoned-in-kerala-for-having-illicit-relationship/458011" TargetMode="External"/><Relationship Id="rId246" Type="http://schemas.openxmlformats.org/officeDocument/2006/relationships/hyperlink" Target="https://www.facebook.com/pragati.khanna.50/posts/1213444492189369?__xts__%5B0%5D=68.ARDUXnjLp9UaHA1biIrzdMKwM29pPHAPMkV9b-Np7jQrPdb5OCu1lxp1WiZJNv4KvClyLRmsWiAQb7dfgmzCua6TITF8xIwkD7iXtaKZiLvYxNnuIeb67ytee8Tq0gChR2QEqERj6G8q-nddgOyw0mr3wMdaMpPB_m2XfV0o-qE9McO7WkGVoGZ8ytiZnsoV0QVONDwf32HOCeq0ihyOwW2Ym4uUYKFIehl9mW9Y4iliU_nNxGJyUPLZ5Pfe5sF256nZ&amp;__tn__=-R" TargetMode="External"/><Relationship Id="rId288" Type="http://schemas.openxmlformats.org/officeDocument/2006/relationships/hyperlink" Target="https://www.facebook.com/FaaraC/posts/10157524900315081" TargetMode="External"/><Relationship Id="rId411" Type="http://schemas.openxmlformats.org/officeDocument/2006/relationships/hyperlink" Target="https://www.facebook.com/AnimalAidUnlimited/videos/271629950321308/?__xts__%5B0%5D=68.ARC7FOQy5sqrVYMbD7bhhNRj97umZNqTxn56OyOzqDCgFiOusjr1x41et-xE4z-PJWGKDSLM35Znjeoq_71sqMeLSruWiso0NV149nT9apwNxK1Z3v1Mqm2pVS89YPi_37JV5xNMbag5T2uPruY9_k2eai0E4Zpxh_n6EEFF6lq6JHUXEqOTjanbq4fK9_r1EeXjUf3d_aVB6xmT2r0eq4nK2EoTJPksrnQ1wXBwW8g3_aeeCA008i3ELgJ4P4lAYPg6BDMdGGPCHL8q6_kFlwWQkvppX9nmCJS48LMQZFeQEuCLfQ0zVjO7ExcwyGp22tNZGWxHBRPxHuM6em3nVH5B&amp;__tn__=-R" TargetMode="External"/><Relationship Id="rId453" Type="http://schemas.openxmlformats.org/officeDocument/2006/relationships/hyperlink" Target="https://www.facebook.com/wag.india/posts/1365520663630985" TargetMode="External"/><Relationship Id="rId509" Type="http://schemas.openxmlformats.org/officeDocument/2006/relationships/hyperlink" Target="https://www.facebook.com/1490798644550799/posts/1545928245704505/?d=n" TargetMode="External"/><Relationship Id="rId660" Type="http://schemas.openxmlformats.org/officeDocument/2006/relationships/hyperlink" Target="https://m.facebook.com/story.php?story_fbid=10215854962783528&amp;id=1129254751" TargetMode="External"/><Relationship Id="rId898" Type="http://schemas.openxmlformats.org/officeDocument/2006/relationships/hyperlink" Target="https://www.facebook.com/1490798644550799/posts/2328079360822719/?vh=e" TargetMode="External"/><Relationship Id="rId106" Type="http://schemas.openxmlformats.org/officeDocument/2006/relationships/hyperlink" Target="https://www.facebook.com/1479152498990751/photos/a.1518662055039795/1522322191340448/?type=3&amp;theater" TargetMode="External"/><Relationship Id="rId313" Type="http://schemas.openxmlformats.org/officeDocument/2006/relationships/hyperlink" Target="https://www.facebook.com/groups/1012658629125448/permalink/1189385324786110/" TargetMode="External"/><Relationship Id="rId495" Type="http://schemas.openxmlformats.org/officeDocument/2006/relationships/hyperlink" Target="https://m.facebook.com/story.php?story_fbid=10153717987508259&amp;id=265906613258" TargetMode="External"/><Relationship Id="rId716" Type="http://schemas.openxmlformats.org/officeDocument/2006/relationships/hyperlink" Target="https://timesofindia.indiatimes.com/city/bareilly/8-booked-for-poaching-in-shahjahanpur-village/articleshow/67594152.cms" TargetMode="External"/><Relationship Id="rId758" Type="http://schemas.openxmlformats.org/officeDocument/2006/relationships/hyperlink" Target="https://www.facebook.com/AnimalAidUnlimited/videos/2360677877539666/?__xts__%5B0%5D=68.ARBJkr0Zeg_k2GfOoOcF33vXuqCo3AI3_P6vK6GVVzKAXzwjzPmSu6rLChPAX9tDt6yBnAIoNgcOV-VtqIDpCp4FWWuCB1AKPQhiYfuohVCjlQtV2c-fi9s5GtHv1mKfXq52RRr47i8KirWBzS0IHBOAN8DWLpcl39uNA-SFNSH8ag3PYPKm6FkRG9lxSdChpcQvGjlzDUWM5ytgKnl1nYVZ-DcOxARY8sm22b3UXd_Uoia9zGavON9jKxzJ7dOQaELlg8p9pp_nzO6o_Be39gOF1P6IigrHNGkIS8lPGBvl9mCLIZlZfYteN_73iFMfIxypIpghsSzL2VG3GBfuUoRg9eCCnQ&amp;__tn__=-R" TargetMode="External"/><Relationship Id="rId923" Type="http://schemas.openxmlformats.org/officeDocument/2006/relationships/hyperlink" Target="https://www.facebook.com/groups/1382277738753927/permalink/2528648287450194/" TargetMode="External"/><Relationship Id="rId965" Type="http://schemas.openxmlformats.org/officeDocument/2006/relationships/hyperlink" Target="https://www.indiatoday.in/crime/story/bhopal-dog-killed-madhya-pradesh-1680349-2020-05-21" TargetMode="External"/><Relationship Id="rId10" Type="http://schemas.openxmlformats.org/officeDocument/2006/relationships/hyperlink" Target="https://www.hindustantimes.com/gurgaon/monkeys-being-drugged-with-sedatives-in-bananas-to-catch-them-allege-gurgaon-activists/story-RcfLHXeYCzxKMeYDCwN2PJ.html" TargetMode="External"/><Relationship Id="rId52" Type="http://schemas.openxmlformats.org/officeDocument/2006/relationships/hyperlink" Target="https://www.facebook.com/groups/355493465008889/permalink/620828698475363/?__xts__%5B0%5D=68.ARDBcXrB5IGC2C44mZ7Kkau2PFXuIyi4sJktyrcjeER-4kGc0xzCeTp_YC-FrFs3eGriQ3_AOgcxTQvyZiM5Zp8eH-uWg-kftrMN9uONQ5H4ebOp95WFhRypEB7h93shs6RBSrxD9DJtghjJawzPxLfjCI6U5qmWcpBcJxBfySBjKL-56tHb2g6RD0bS40wQu1NSrqKGVKB0aIVK5lDeHRwESEPyIZ6ylD8frG-MB6pEmtYr-5p4bNJvuKJj3ts0fWNebcWsL_3qKmEVBsfjNAtQGaz4Cfwl0Pfohbrn3sKExQBc3yyCz00&amp;__tn__=H-R" TargetMode="External"/><Relationship Id="rId94" Type="http://schemas.openxmlformats.org/officeDocument/2006/relationships/hyperlink" Target="https://www.facebook.com/bluecrossofindia/posts/10157381932392170" TargetMode="External"/><Relationship Id="rId148" Type="http://schemas.openxmlformats.org/officeDocument/2006/relationships/hyperlink" Target="https://www.facebook.com/HIS.Jaipur/photos/a.1513994078672711/2323092547762856/?type=3&amp;__xts__%5B0%5D=68.ARATtyjIFzl4tknuU3kzEfPQtEdbML_0Arj0VkvzCG2ppKdm2jq6ED_21NYKloT3uz7X-cl3SIgpimmCLjYWkBOfrsVuM3Ua5jpt_I4CP30gq-TOmrnBLnUml14lgFjvOPuepqKtyiLrTGdzMS63GjMsOBBi3_tOqjCRuQSbge-dF_yDoC-kkQ3kN5mcchFYe_gb4sMgSPDg3cAXZnwfMtgbdkr5T1LjCujiW0g_9MAzY-zGrnBElN6dJt0NrkR_evYuC1UTR0nxPPl_9fn9FvlP4fR32hHauhmXp3R5KtZ_MwpeTW3DLuYVQj4AhsECQa0Jg27ZMHfniuoBPMGh_wuAaQ&amp;__tn__=-R" TargetMode="External"/><Relationship Id="rId355" Type="http://schemas.openxmlformats.org/officeDocument/2006/relationships/hyperlink" Target="https://www.ncbi.nlm.nih.gov/pmc/articles/PMC4040077/" TargetMode="External"/><Relationship Id="rId397" Type="http://schemas.openxmlformats.org/officeDocument/2006/relationships/hyperlink" Target="https://m.facebook.com/story.php?story_fbid=1888375327856453&amp;id=187854877908515" TargetMode="External"/><Relationship Id="rId520" Type="http://schemas.openxmlformats.org/officeDocument/2006/relationships/hyperlink" Target="https://www.instagram.com/p/BGBIGd_Orj0/?utm_source=ig_web_copy_link" TargetMode="External"/><Relationship Id="rId562" Type="http://schemas.openxmlformats.org/officeDocument/2006/relationships/hyperlink" Target="https://www.facebook.com/1490798644550799/posts/1665793817051280/?d=n" TargetMode="External"/><Relationship Id="rId618" Type="http://schemas.openxmlformats.org/officeDocument/2006/relationships/hyperlink" Target="https://www.facebook.com/sfabbsr/videos/714648472061710/?__xts__%5B0%5D=68.ARDqJYXyk5WCjjWx3jDmjCpvx3LYVFNlaF7EiB7PuJXEJbur1j0nkh1UExqnPwTmpv2CqHPXO_ujuTh2f38j81V87Mb4us2yxMFPUdBJOTSUVDj--KkRmHL41vYEumVyUe0jqUO1oUZUSSlIu3RBGdY0n26O3Y8ArgAPpvXyM5UwtzD5WrsbcZRoFeLOJo4feo7vz34thq6tEJMAK1HyqKC1lm6wjB_0gUOKfpY2fZEKOPEaKGJia6T9smS_8Dp7WIe001tACpD2c5xOtYrvqW-ZqGc7uOzLa3gqp4m8nwXsQHHXS_p-LQ52MtdEFWkBSzQPGf6y8lvUkxc&amp;__tn__=-R" TargetMode="External"/><Relationship Id="rId825" Type="http://schemas.openxmlformats.org/officeDocument/2006/relationships/hyperlink" Target="https://www.tribuneindia.com/news/punjab/three-booked-for-killing-dog/855976.html" TargetMode="External"/><Relationship Id="rId215" Type="http://schemas.openxmlformats.org/officeDocument/2006/relationships/hyperlink" Target="https://www.facebook.com/dipti.toppo/posts/10220710788658562" TargetMode="External"/><Relationship Id="rId257" Type="http://schemas.openxmlformats.org/officeDocument/2006/relationships/hyperlink" Target="https://www.instagram.com/p/B5-H8N2nDCu/?igshid=p7s54en5is5c" TargetMode="External"/><Relationship Id="rId422" Type="http://schemas.openxmlformats.org/officeDocument/2006/relationships/hyperlink" Target="https://m.facebook.com/story.php?story_fbid=981184058748748&amp;id=100005714887443" TargetMode="External"/><Relationship Id="rId464" Type="http://schemas.openxmlformats.org/officeDocument/2006/relationships/hyperlink" Target="https://www.youtube.com/watch?v=fSh-XWvD_aU" TargetMode="External"/><Relationship Id="rId867" Type="http://schemas.openxmlformats.org/officeDocument/2006/relationships/hyperlink" Target="https://www.facebook.com/p4adurgbhilai/posts/886163618508360?__xts__%5B0%5D=68.ARB42h1mtdR4bKGm_etO--0SWIufE9kIO4AU4xSQSzDJTImi1dQP1Nlz_W_pyqMGIffKOVfN7sMUXvBaWxjiEkSp_q9aEj5uUmTqnZ4nwPBW_jXqJaA3Ar7ZC-xJtjeolVEpNCk7ozL2VEuInVAI6lHU8q7Sbo_HMJ9cp8w6Ekt8kbbeCKcPszSjpvqzsRPtqIRNvelGxUz24Y6V93ersG-PQ7zlqf7Gy5kK4dephNxASaa0A-4Aqcga5VIktAbRP1NG2oZawIl11c7mRIeiWCw5KyOLkT_8UDrHzRlLdVhH8VIF7t09FDEZsWQ7wy99a5dL9tpfm55uHZWvr_ZMZw0&amp;__tn__=-R" TargetMode="External"/><Relationship Id="rId299" Type="http://schemas.openxmlformats.org/officeDocument/2006/relationships/hyperlink" Target="https://www.facebook.com/groups/indiaanimalforum/permalink/2707272166021678/?__xts__%5B0%5D=68.ARCNZ84cChwswLus1zrnBJWriQ1zgna_8vlaQPy9Bg3wCk-R6mipWwlXc9bmNUQj_DUwrdvNfSErx92N4oj3MzY32JZT-6BpHj3Sz1tF9K3WH0MlNnGNLNoTFar1Pgv9RvPf2iUeZ00fk0M-AgRRCMwhuQMXsJiWWMiv-MFQ3ptRTMQsLd7D4AqAowhzwR0T4HLhIrhFjTQtRtgqtBt8vMC63RLYOrO2u7JzIORouRATbLFbhwkXyjRp_RKKJmh9u4pytZZhwXP7aMDHzJMwyEQ5Ww_F_CEXuMO5EXtIaYw5x1aKHr4KCp64-S20L_-lc3I&amp;__tn__=-R" TargetMode="External"/><Relationship Id="rId727" Type="http://schemas.openxmlformats.org/officeDocument/2006/relationships/hyperlink" Target="https://www.facebook.com/kochharvikram/photos/a.329887234306445/330596067568895/?type=3&amp;__xts__%5B0%5D=68.ARA-AZm81b8mj45UA3Pm-GvppdIQZgiEtBl4v_A6PYaUtiMFwSFiYPduD0hAyrv5MWdWbm7AH8qP1gM3KT7_T6J_Vnib8bQemwtN71EBeEApqCPUTLo4lX1ueoIptuXgUmbBLyPKZXSO1GKe1Ni78kSgJc6cV8PmAI8QeGhdf188G0Sh5HsY91sIAwj6qvOamsF3t2il7QIGvZSQ8OxBnv7qBdJcCZCcdvS1hy1PfWP2TJm-_aK2Hc0KpaKvLm0S3EoSrI82PjKY1GxkPZfEbuP7KbEiqvZrgqZa5ZbhHMqFAjyZRFLPkEycKogGKT8sjOlUw7_unxCbDnw5FsYdNEo&amp;__tn__=-R" TargetMode="External"/><Relationship Id="rId934" Type="http://schemas.openxmlformats.org/officeDocument/2006/relationships/hyperlink" Target="https://www.facebook.com/groups/1382277738753927/permalink/2541446566170366/" TargetMode="External"/><Relationship Id="rId63" Type="http://schemas.openxmlformats.org/officeDocument/2006/relationships/hyperlink" Target="https://www.facebook.com/DogWithBlog/photos/a.513009608741889/621922244517291/?type=3&amp;__xts__%5B0%5D=68.ARCZV3XCCZrLZrWweGuHF_mGcPUNc7ppo-stJg4HPf9deine7AO099seIAe2VH1dG9_JRf63PBN7yTLkFGjAZbV-T7mFEUNq5tYKhd5TOM6rlSbgj41Fsl_N0Lz1dhGtbatqICyfFifYu6x6x0pA-hmmnPhrsqeR1QOylresUCVx3XhByruGx0RkOjHhAg7D83apN5px_YALxjO2YRyGEN4n_dx7UI81vS-GlJfubYDYHe---jVLKt_nscRue5noFOkdlSRsSFse3fJNJ60qwQycaDaykqjD6bEbL7jXrT_TII86pS5fCLITo_k&amp;__tn__=H-R" TargetMode="External"/><Relationship Id="rId159" Type="http://schemas.openxmlformats.org/officeDocument/2006/relationships/hyperlink" Target="https://www.facebook.com/wvshicksitc/posts/604170660006118" TargetMode="External"/><Relationship Id="rId366" Type="http://schemas.openxmlformats.org/officeDocument/2006/relationships/hyperlink" Target="https://www.facebook.com/peopleforanimalschennai/photos/a.232046000257036/983895998405362/?type=3" TargetMode="External"/><Relationship Id="rId573" Type="http://schemas.openxmlformats.org/officeDocument/2006/relationships/hyperlink" Target="https://timesofindia.indiatimes.com/city/dehradun/major-beats-3-stray-dogs-to-death-in-dehradun/articleshow/58724516.cms" TargetMode="External"/><Relationship Id="rId780" Type="http://schemas.openxmlformats.org/officeDocument/2006/relationships/hyperlink" Target="https://m.facebook.com/story.php?story_fbid=1132289546971531&amp;id=100005714887443" TargetMode="External"/><Relationship Id="rId226" Type="http://schemas.openxmlformats.org/officeDocument/2006/relationships/hyperlink" Target="https://www.facebook.com/groups/683166908425471/permalink/3090781127664025/" TargetMode="External"/><Relationship Id="rId433" Type="http://schemas.openxmlformats.org/officeDocument/2006/relationships/hyperlink" Target="https://timesofindia.indiatimes.com/city/ahmedabad/camel-owner-booked-for-culpable-homicide-attempt/articleshow/70284763.cms" TargetMode="External"/><Relationship Id="rId878" Type="http://schemas.openxmlformats.org/officeDocument/2006/relationships/hyperlink" Target="https://www.facebook.com/groups/indiaanimalforum/permalink/2709193555829539/" TargetMode="External"/><Relationship Id="rId640" Type="http://schemas.openxmlformats.org/officeDocument/2006/relationships/hyperlink" Target="https://www.facebook.com/groups/indiaanimalforum/permalink/1678714818877423/" TargetMode="External"/><Relationship Id="rId738" Type="http://schemas.openxmlformats.org/officeDocument/2006/relationships/hyperlink" Target="http://theshillongtimes.com/2019/04/01/bsf-alleges-extreme-cruelty-to-animals-by-cattle-smugglers/" TargetMode="External"/><Relationship Id="rId945" Type="http://schemas.openxmlformats.org/officeDocument/2006/relationships/hyperlink" Target="https://timesofindia.indiatimes.com/city/dehradun/dehradun-lawyer-booked-for-thrashing-stray-dog-to-death/articleshow/76236278.cms" TargetMode="External"/><Relationship Id="rId74" Type="http://schemas.openxmlformats.org/officeDocument/2006/relationships/hyperlink" Target="https://www.facebook.com/wag.india/posts/469117869937940:0" TargetMode="External"/><Relationship Id="rId377" Type="http://schemas.openxmlformats.org/officeDocument/2006/relationships/hyperlink" Target="https://www.youtube.com/watch?v=LvPMsm6lY1U" TargetMode="External"/><Relationship Id="rId500" Type="http://schemas.openxmlformats.org/officeDocument/2006/relationships/hyperlink" Target="https://www.assistinganimals.com/" TargetMode="External"/><Relationship Id="rId584" Type="http://schemas.openxmlformats.org/officeDocument/2006/relationships/hyperlink" Target="https://timesofindia.indiatimes.com/city/delhi/cctv-shows-five-men-stone-stray-to-death-in-munirka/articleshow/60110210.cms" TargetMode="External"/><Relationship Id="rId805" Type="http://schemas.openxmlformats.org/officeDocument/2006/relationships/hyperlink" Target="https://siliguritimes.com/case-of-animal-cruelty-surfaces-from-siliguri/" TargetMode="External"/><Relationship Id="rId5" Type="http://schemas.openxmlformats.org/officeDocument/2006/relationships/hyperlink" Target="https://www.dailymail.co.uk/indiahome/indianews/article-2999542/Dog-hating-dentist-caught-CCTV-abducting-five-strays-dumping-elsewhere.html" TargetMode="External"/><Relationship Id="rId237" Type="http://schemas.openxmlformats.org/officeDocument/2006/relationships/hyperlink" Target="https://www.facebook.com/resqct/posts/10157530243731101" TargetMode="External"/><Relationship Id="rId791" Type="http://schemas.openxmlformats.org/officeDocument/2006/relationships/hyperlink" Target="https://www.facebook.com/groups/sgacc/search/?query=cruelty&amp;epa=SEARCH_BOX" TargetMode="External"/><Relationship Id="rId889" Type="http://schemas.openxmlformats.org/officeDocument/2006/relationships/hyperlink" Target="https://www.facebook.com/332058007498381/posts/513061352731378/?d=n" TargetMode="External"/><Relationship Id="rId444" Type="http://schemas.openxmlformats.org/officeDocument/2006/relationships/hyperlink" Target="https://www.dailypioneer.com/2019/india/5-sloth-bear-saved-from-poachers--shifted-to-agra-bear-rescue-facility.html" TargetMode="External"/><Relationship Id="rId651" Type="http://schemas.openxmlformats.org/officeDocument/2006/relationships/hyperlink" Target="https://www.facebook.com/p4adurgbhilai/videos/477178516073541/?__xts__%5B0%5D=68.ARDzdol8ImbzDuXNj7EXQnQuOrSX_jrOlCvmzR6kArPWxgtyZO_gxmhYezUpbNbJeazztiGI0RNP4ysoSreWHhVX7Fk4ZCEL4TnNj4TVvN5qrY-X839WJcSIF5pO3wrjKd4ualUnpxzSFap614zKxtuAc06AOWCDBKgGAwn5kqJGtLqTfcNy9-ZI1oFUWsv1zWqc-eF7XlUkSnFsG_ea1blNaOI1Ftj6TemLxHLEcTr9jEK5JXSskr4xrlkn7Kw1leHiAgO4uVuEPxfkLlgJoqW2L9Iq8OKsW7iHokpU76-sp7ntC1z1t0J7gZHHALHbLEGnKejWW6DY6Cw&amp;__tn__=-R" TargetMode="External"/><Relationship Id="rId749" Type="http://schemas.openxmlformats.org/officeDocument/2006/relationships/hyperlink" Target="https://timesofindia.indiatimes.com/city/rajkot/6-stray-dogs-poisoned-to-death-two-booked/articleshow/69391380.cms" TargetMode="External"/><Relationship Id="rId290" Type="http://schemas.openxmlformats.org/officeDocument/2006/relationships/hyperlink" Target="https://www.facebook.com/p4adurgbhilai/posts/884621345329254?__xts__%5B0%5D=68.ARCAUSmEt3OFN7PwIcxLrlvOFraKhMDaEch0tqTB95HGg9523MCflqRd70yY9J1mvyPwfcc2BWT23a6lqPjb323A6ZcSzMFMLZJVm4iDw6-i8wgKVibEmI1-z5LDJu9YyzDiiyO0xXFO0PN6mHk1IofmL90htpxqMLKXHvQL7ebPtcA8WsXfShofXhe18BUpctIxqtGAcZqRq7lW7c6lVPPFv23YpXjQsrYKwFEnhxJAx3OdRMO-dvKjN-G33qt2fEn_al7DuQ9uHY7E4Fj2dmpw05mKUI38XvJfwnkXBSbtOh5oNyy0jnzbJksb5LVWNPHISA39YFfOjbHZtMwBKzQ&amp;__tn__=-R" TargetMode="External"/><Relationship Id="rId304" Type="http://schemas.openxmlformats.org/officeDocument/2006/relationships/hyperlink" Target="https://www.facebook.com/groups/1667058386874380/permalink/2611286975784845/" TargetMode="External"/><Relationship Id="rId388" Type="http://schemas.openxmlformats.org/officeDocument/2006/relationships/hyperlink" Target="http://timesofindia.indiatimes.com/city/madurai/jallikattu-held-at-mukkampatti-village/articleshow/58087831.cms" TargetMode="External"/><Relationship Id="rId511" Type="http://schemas.openxmlformats.org/officeDocument/2006/relationships/hyperlink" Target="https://www.hindustantimes.com/punjab/patiala-man-shoots-two-stray-dogs/story-eTZTBGXSOdOdG8ITBXkavN.html" TargetMode="External"/><Relationship Id="rId609" Type="http://schemas.openxmlformats.org/officeDocument/2006/relationships/hyperlink" Target="https://www.indiatoday.in/pti-feed/story/chhattisgarh-37-cows-die-in-2-weeks-at-shelter-in-dhamtari-1115637-2017-12-24" TargetMode="External"/><Relationship Id="rId956" Type="http://schemas.openxmlformats.org/officeDocument/2006/relationships/hyperlink" Target="https://www.facebook.com/AnimalAidUnlimited/videos/2418876331515588/?__xts__%5B0%5D=68.ARCm9VPbPL3p3lSmYsr-4OvnLhh61oUOC6Daa7WkYBAtj1MCcWtUP_GOuvhF6rngToYvpY7BKSDZC-9Q2Bx9DmSKcykygqof9uLHjSsIn3swl-8F_Ub46ItboFwJztdodmLp4iYK1tmqq4B46bgjIGnnc-Q_Qtot8gh2Jsf0AB4iXvYTlPRWe0-qkbjHUvnwo2P_Vq4A3doR3bzCuSlDlC4jrNz2N_32yjX513H3eGxQZUUNMBcSaDNd69FMsPCIcmueibzOPvUo27yJOVrYDXOWmQUbqG-2Zp0HBIINu5GOcbU_eUelrXRRSsdlc5rsYM2oClP2AMg-rmzfCpykZ2Rg5vG9-A&amp;__tn__=-R" TargetMode="External"/><Relationship Id="rId85" Type="http://schemas.openxmlformats.org/officeDocument/2006/relationships/hyperlink" Target="https://www.facebook.com/groups/19045359536/permalink/10153857601499537/" TargetMode="External"/><Relationship Id="rId150" Type="http://schemas.openxmlformats.org/officeDocument/2006/relationships/hyperlink" Target="https://www.facebook.com/pawsforacausencr/posts/1308804099262872?__xts__%5B0%5D=68.ARDxXh6M8jK-VtaW0hgRtp8gYYFODQK7glgYHPGWMcd5n6S6j5qh1gK2cMCOjhtHmT-U26xuUXhya5qQOUN3BOk7s6GmyCmspjGjTUGXzQURzPEcxwTVZlPz1PID4BpLYKTLg5iaOW3W2zgLqbLBw6GvRQYW0vxGIOsePQJOov20kiZGqWSouyydkTCi8egrDk42xpXT77Xisbr458-hFdV2BJvRFQ4SzBmiHE_CBM3YCUSE78S65Fx65jfKRMizeXRS4EUIVW5tUTmKPr_8oLZsux_l87DczPc9uxP0LB3tra4gBerYOUh-1pF-xs7aOng9&amp;__tn__=H-R" TargetMode="External"/><Relationship Id="rId595" Type="http://schemas.openxmlformats.org/officeDocument/2006/relationships/hyperlink" Target="https://m.facebook.com/story.php?story_fbid=10210302333099208&amp;id=1367802508" TargetMode="External"/><Relationship Id="rId816" Type="http://schemas.openxmlformats.org/officeDocument/2006/relationships/hyperlink" Target="https://www.indiatoday.in/mail-today/story/grotesque-killing-owls-for-diwali-good-luck-1613212-2019-10-27" TargetMode="External"/><Relationship Id="rId248" Type="http://schemas.openxmlformats.org/officeDocument/2006/relationships/hyperlink" Target="https://www.facebook.com/animalwelfareassociationofpanchkula/posts/2613789825515311?__xts__%5B0%5D=68.ARDI4o644UQ85GwGGd5vu7Azj5FtLsWXq-CWQHDrNByQ5PjOflWTYe6-xRhS799kzeKisLay8lJoYk74Trc48oqMEkuu1EJffh-bQj4h9I0VmBavm7-gM7MqWzFo5G7G-NMUeAX5nurAo90explMhzhyloWm_l_-mtqbiLixsOFEz4Hm-Fi2HRdOPVsYt48vZCEP9RnNFodofxu0W5aDM9vl4Qeo99NcetJgavtMYrj32FP5Oqn3dff0SKkd-nuONmay_NArUu_AY-M6GV6m2fPMVSn1a_lo0lpME2RVZgdMroHbdIqSLcyThRd6vyaACJ9fuL4xLIMq7L3nbdMSLC6ZInWy&amp;__tn__=-R" TargetMode="External"/><Relationship Id="rId455" Type="http://schemas.openxmlformats.org/officeDocument/2006/relationships/hyperlink" Target="https://www.petaindia.com/media/himachal-pradesh-government-to-crack-down-on-illegal-use-of-spiked-bits-on-horses/" TargetMode="External"/><Relationship Id="rId662" Type="http://schemas.openxmlformats.org/officeDocument/2006/relationships/hyperlink" Target="https://www.facebook.com/AnimalAidUnlimited/videos/271629950321308/?__xts__%5B0%5D=68.ARC7FOQy5sqrVYMbD7bhhNRj97umZNqTxn56OyOzqDCgFiOusjr1x41et-xE4z-PJWGKDSLM35Znjeoq_71sqMeLSruWiso0NV149nT9apwNxK1Z3v1Mqm2pVS89YPi_37JV5xNMbag5T2uPruY9_k2eai0E4Zpxh_n6EEFF6lq6JHUXEqOTjanbq4fK9_r1EeXjUf3d_aVB6xmT2r0eq4nK2EoTJPksrnQ1wXBwW8g3_aeeCA008i3ELgJ4P4lAYPg6BDMdGGPCHL8q6_kFlwWQkvppX9nmCJS48LMQZFeQEuCLfQ0zVjO7ExcwyGp22tNZGWxHBRPxHuM6em3nVH5B&amp;__tn__=-R" TargetMode="External"/><Relationship Id="rId12" Type="http://schemas.openxmlformats.org/officeDocument/2006/relationships/hyperlink" Target="https://www.hindustantimes.com/gurgaon/gurgaon-animal-rights-activists-accuse-mcg-of-brutality-to-stray-pigs/story-WsCIf5lKvqaYapUAi8xRzH.html" TargetMode="External"/><Relationship Id="rId108" Type="http://schemas.openxmlformats.org/officeDocument/2006/relationships/hyperlink" Target="https://m.facebook.com/story.php?story_fbid=1538019609592376&amp;id=100001530553900" TargetMode="External"/><Relationship Id="rId315" Type="http://schemas.openxmlformats.org/officeDocument/2006/relationships/hyperlink" Target="https://www.facebook.com/groups/indiaanimalforum/permalink/2744674075614820/" TargetMode="External"/><Relationship Id="rId522" Type="http://schemas.openxmlformats.org/officeDocument/2006/relationships/hyperlink" Target="https://www.instagram.com/p/BGWw-A4OdB5/?utm_source=ig_web_copy_link" TargetMode="External"/><Relationship Id="rId967" Type="http://schemas.openxmlformats.org/officeDocument/2006/relationships/hyperlink" Target="https://www.change.org/p/make-delhi-canine-rabies-free-not-by-killing-dogs-but-by-participating-in-the-abc-programme/u/26975593?cs_tk=AiJagunBugylO68p6V4AAXicyyvNyQEABF8BvENM_d3xjFylQvmdjaDLp0c%3D&amp;utm_campaign=beb8275c991943339a68cbbab3350e33&amp;utm_content=" TargetMode="External"/><Relationship Id="rId96" Type="http://schemas.openxmlformats.org/officeDocument/2006/relationships/hyperlink" Target="https://m.facebook.com/friendicoesindia/photos/a.113464299674/10155242200229675/?type=3" TargetMode="External"/><Relationship Id="rId161" Type="http://schemas.openxmlformats.org/officeDocument/2006/relationships/hyperlink" Target="https://m.facebook.com/story.php?story_fbid=807626582912087&amp;id=100009942577579" TargetMode="External"/><Relationship Id="rId399" Type="http://schemas.openxmlformats.org/officeDocument/2006/relationships/hyperlink" Target="https://www.youtube.com/watch?v=XtdVTxmwY1Q" TargetMode="External"/><Relationship Id="rId827" Type="http://schemas.openxmlformats.org/officeDocument/2006/relationships/hyperlink" Target="https://www.facebook.com/kannananimalwelfare/posts/2235314526574066?__xts__%5B0%5D=68.ARBS6poXAMnSFtZEBHzt8_bjb_CnHFS9rKG03gLQIHd3Elg1DNOOX52w06JVj_Q38JHCR2twDeKvyJnOPXxeLeOvYUjahLSD1W9ApRBtdIjgmobDEv36QaJi1t0kqjxEjNhVqDCufRwjY8B397TlIEKBiypNG7mTVbbiNr8u8GOfh4RMbvsfrUVskE_o67ypca_fNUNUjnuJKMnLxneXQ4c2ogcroO6w_DmvtvwC7anHwvx3Ixs5TYzeQrf0kJEd-0LPxwWNE8yXkhc78LadcHFRiN1j6LXGnCp_HIpLvtPwSakuyB4lcR65AKS_7ztp9O1H_yrFcEg-X94uXpVmK5pMuA&amp;__tn__=-R" TargetMode="External"/><Relationship Id="rId259" Type="http://schemas.openxmlformats.org/officeDocument/2006/relationships/hyperlink" Target="https://www.facebook.com/sfabbsr/videos/1646270175510608/?__xts__%5B0%5D=68.ARCaF4dgE7AI9bcyjUqzZcVti7noLJTgofMkauLMFVO9JorPOhT4DN3vDxpEh298PSnaE9QGMvhRnduUKMgV5KhvZkxgyl2x7ao3S9C7X7OTbSZqfvNXdZ8TiA3O-8x1pxXsgTF3SATjf1WTAnNcUkCypHnIIESDEMsXfxVkzPOZktwPIHor7xuKS9q1yCInR4VTnbdkzFGHHqmd-puR2cXQPkZ8ulygHrApJVUCpqhH37fClF1t6nX1vGcWkUttttSAZDFxWPd0Yqb5rA2-Lh3XA3MhUAAZVvXkeZPam681JI-uZT4iEd2JbyQAkQkiowu5edBcwV-opZvJozwCKXACRk2PyM4xuglYZQ&amp;__tn__=-R" TargetMode="External"/><Relationship Id="rId466" Type="http://schemas.openxmlformats.org/officeDocument/2006/relationships/hyperlink" Target="https://www.facebook.com/PFAGBN/videos/511834599740568/" TargetMode="External"/><Relationship Id="rId673" Type="http://schemas.openxmlformats.org/officeDocument/2006/relationships/hyperlink" Target="https://www.facebook.com/sfabbsr/videos/307876433135145/?__xts__%5b0%5d=68.ARA90OHYakQxa9iXU5HVvqIifSpHZlMSt-lj4cUsDEVLQ3WfM_rOxh-BiDjQi7gcDAYfi8W9bE-l4ZZnaJPqCKrH_UwbkSMXILlS-5ZUv6HHPtYZf4N9huiHvQPkPavZ4vGQlEgvjjdnjWMEdKXicwAGbwdahgUouMeGPREfBu3-lQVgXmr-" TargetMode="External"/><Relationship Id="rId880" Type="http://schemas.openxmlformats.org/officeDocument/2006/relationships/hyperlink" Target="https://www.facebook.com/groups/1382277738753927/permalink/2506232173025139/" TargetMode="External"/><Relationship Id="rId23" Type="http://schemas.openxmlformats.org/officeDocument/2006/relationships/hyperlink" Target="https://www.facebook.com/watch/?v=1025463197632446" TargetMode="External"/><Relationship Id="rId119" Type="http://schemas.openxmlformats.org/officeDocument/2006/relationships/hyperlink" Target="https://m.facebook.com/story.php?story_fbid=10157259864844498&amp;id=614249497" TargetMode="External"/><Relationship Id="rId326" Type="http://schemas.openxmlformats.org/officeDocument/2006/relationships/hyperlink" Target="https://www.facebook.com/groups/1382277738753927/permalink/2543017899346566/" TargetMode="External"/><Relationship Id="rId533" Type="http://schemas.openxmlformats.org/officeDocument/2006/relationships/hyperlink" Target="https://www.facebook.com/100001798228995/posts/1093634827373114?sfns=mo" TargetMode="External"/><Relationship Id="rId740" Type="http://schemas.openxmlformats.org/officeDocument/2006/relationships/hyperlink" Target="https://m.facebook.com/story.php?story_fbid=2571274039567172&amp;id=100000538024102" TargetMode="External"/><Relationship Id="rId838" Type="http://schemas.openxmlformats.org/officeDocument/2006/relationships/hyperlink" Target="https://www.facebook.com/groups/thepound/permalink/3529620040381803?sfns=mo" TargetMode="External"/><Relationship Id="rId172" Type="http://schemas.openxmlformats.org/officeDocument/2006/relationships/hyperlink" Target="https://m.facebook.com/story.php?story_fbid=10157421470911807&amp;id=593321806" TargetMode="External"/><Relationship Id="rId477" Type="http://schemas.openxmlformats.org/officeDocument/2006/relationships/hyperlink" Target="https://www.dailyo.in/politics/fishing-cats-animal-cruelty-poaching-world-environment-day-national-centre-for-biological-sciences/story/1/5445.html" TargetMode="External"/><Relationship Id="rId600" Type="http://schemas.openxmlformats.org/officeDocument/2006/relationships/hyperlink" Target="https://www.facebook.com/kasturi.ballal/posts/1304212413023868?__xts__%5B0%5D=68.ARAqrPpgQlBY-CUKVoARTmPNHVwCib4RIuFdNMglr9daw5A17NwUoFDNjY1ceNGraM7rugtowRCKcJr1PBjeE2jQjH8ym7-f__AKDnfXs5u15x4sbcoFkkP-P1qKhHmhhmo4olmiKNzN1MNr0zGQBLTju_sOQHpiYZQvD09Z45kJoiO5immlwCVko55l6XjhYkGjT5q6KPAgsoJUxkf6_PFUina2TnYbgg1rIovJe5fUcAdQx0DYflKfZHtwtrbbhE7TQTuf8OsMTTE1ygjE8icFhcBn12dXzflPzjzKOBAi_oKFUcKZAFC1LSUUG-yXDRoyv5KZxtnCXh7pmEM3aQI&amp;__tn__=H-R" TargetMode="External"/><Relationship Id="rId684" Type="http://schemas.openxmlformats.org/officeDocument/2006/relationships/hyperlink" Target="https://www.hindustantimes.com/dehradun/team-of-shooters-sent-to-bageshwar-to-shoot-leopard-declared-man-eater/story-5f7CeslHbVOvF0i63D70TL.html?fbclid=IwAR2T-5eqAlUlfSVyhJ7JJazoH3Xg78Bhq3WrdQJPj42-tHpzF-YjLvISWHY" TargetMode="External"/><Relationship Id="rId337" Type="http://schemas.openxmlformats.org/officeDocument/2006/relationships/hyperlink" Target="https://drive.google.com/file/d/1i8MgjPDvvGZoSTTkZQ0OLHoIMI0TO6dw/view?usp=sharing" TargetMode="External"/><Relationship Id="rId891" Type="http://schemas.openxmlformats.org/officeDocument/2006/relationships/hyperlink" Target="https://www.facebook.com/332058007498381/posts/513061352731378/?d=n" TargetMode="External"/><Relationship Id="rId905" Type="http://schemas.openxmlformats.org/officeDocument/2006/relationships/hyperlink" Target="https://www.facebook.com/342871942478873/posts/2621991201233591/?d=n" TargetMode="External"/><Relationship Id="rId34" Type="http://schemas.openxmlformats.org/officeDocument/2006/relationships/hyperlink" Target="https://timesofindia.indiatimes.com/city/vijayawada/local-panchayath-massacres-stray-dogs-in-guntur-district/articleshow/70423387.cms" TargetMode="External"/><Relationship Id="rId544" Type="http://schemas.openxmlformats.org/officeDocument/2006/relationships/hyperlink" Target="https://www.instagram.com/p/BTQLSBzBdhd/?utm_source=ig_web_copy_link" TargetMode="External"/><Relationship Id="rId751" Type="http://schemas.openxmlformats.org/officeDocument/2006/relationships/hyperlink" Target="https://www.ndtv.com/delhi-news/moti-nagar-west-delhi-charge-of-molestation-animal-cruelty-in-delhi-society-names-dlf-builders-2046239" TargetMode="External"/><Relationship Id="rId849" Type="http://schemas.openxmlformats.org/officeDocument/2006/relationships/hyperlink" Target="https://www.facebook.com/HIS.Jaipur/posts/3372267639512003?__xts__%5B0%5D=68.ARC8iUyybUYXhfJ7rFqAa-0QlGKQL5uFgpDmAEFfGLqG93i6Lp4JC6iW6y0xGW_iqb6eBaYvSnxYM7U8RSOH717wTkllHM41wCxzIVvu0VtwUa-28gooXMuQVISz9elBdj1z4P1suYTbR8961E5Td2YVYHbFxPOSS2fCJDwcF-C8BWW_VzMzIlzmpsxw-1NCzo13sv5zVLXz1NIyw1MGtCTExfitGMrdsnqzr_rCIhcZnNvgJBU57RrEoLRhttmLQd0e2Qabu8hy9A7g3y3lvy46OXwlOk2SjjVz0Nj7drtmflZZoWXgjaO_Cw_9EHeXCr6VWKmIOSFq2FKZJiZskrGwXw&amp;__tn__=-R" TargetMode="External"/><Relationship Id="rId183" Type="http://schemas.openxmlformats.org/officeDocument/2006/relationships/hyperlink" Target="https://www.facebook.com/1490798644550799/posts/2106049343025723/?" TargetMode="External"/><Relationship Id="rId390" Type="http://schemas.openxmlformats.org/officeDocument/2006/relationships/hyperlink" Target="https://timesofindia.indiatimes.com/city/gurgaon/langur-its-teeth-broken-found-tied-with-rope-in-gurgaon-condominium/articleshow/60199952.cms" TargetMode="External"/><Relationship Id="rId404" Type="http://schemas.openxmlformats.org/officeDocument/2006/relationships/hyperlink" Target="https://www.facebook.com/BiharPeopleForAnimals/posts/280835712368163?__xts__%5b0%5d=68.ARDpp9pHmL9K_vDxXl4EmUjKjfLZ9dEGG7DWSLYNHgQyBglcz5Yjrs_Gu2FkmW2HDoR5DKoba8mGSF2gGyhH78N2mrB611FXcQhdZZl88uIfyj400IgJ72S956vQ1ArfxNClQTvS2V4fjgYrEPcvLVoXxdjl2ZNJRY6OjJUQ" TargetMode="External"/><Relationship Id="rId611" Type="http://schemas.openxmlformats.org/officeDocument/2006/relationships/hyperlink" Target="https://www.facebook.com/PFAkanpur/photos/a.1841204109225169/1841255279220052/?type=3&amp;theater" TargetMode="External"/><Relationship Id="rId250" Type="http://schemas.openxmlformats.org/officeDocument/2006/relationships/hyperlink" Target="https://www.facebook.com/groups/goapetlife/permalink/369537819812853/" TargetMode="External"/><Relationship Id="rId488" Type="http://schemas.openxmlformats.org/officeDocument/2006/relationships/hyperlink" Target="https://m.facebook.com/story.php?story_fbid=10153545974088259&amp;id=265906613258" TargetMode="External"/><Relationship Id="rId695" Type="http://schemas.openxmlformats.org/officeDocument/2006/relationships/hyperlink" Target="https://m.facebook.com/story.php?story_fbid=967358070131347&amp;id=100005714887443" TargetMode="External"/><Relationship Id="rId709" Type="http://schemas.openxmlformats.org/officeDocument/2006/relationships/hyperlink" Target="https://timesofindia.indiatimes.com/city/gurgaon/in-gurgaon-pulhana-villagers-beat-endangered-animal-to-death/articleshow/71387017.cms" TargetMode="External"/><Relationship Id="rId916" Type="http://schemas.openxmlformats.org/officeDocument/2006/relationships/hyperlink" Target="https://www.facebook.com/monumanesar0052/videos/139472813968495/" TargetMode="External"/><Relationship Id="rId45" Type="http://schemas.openxmlformats.org/officeDocument/2006/relationships/hyperlink" Target="https://www.facebook.com/pragati.khanna.50/posts/1301814166685734?__xts__%5B0%5D=68.ARBpjOmStTux5U4j7Ib6k5WHT0AC7lUBpeaK7x8m0jFgpoD-RmdKonRd08thS2-j9PTT3Q_9Whsba2r9bNHZ5cxhc3NwswIS687U4Wss4mmLOCX_6NR8BI0F09RnwXeqCS9q4Ll0xxKHaQhGWYDgxP5H1Dg29zJXblQcs9NtFN8fQ943tIq1m4tyfzUv2Y7odIXKwwBHIeKFXMmXAKL5-VFPLBaH1I1-ZWSjDXDOorVTY5iwSGj8FghmAGEiDWNszg7XOGBO90qMMWdOl2QXi31BZNOsRYmUxwTMqg&amp;__tn__=-R" TargetMode="External"/><Relationship Id="rId110" Type="http://schemas.openxmlformats.org/officeDocument/2006/relationships/hyperlink" Target="https://www.facebook.com/BiharPeopleForAnimals/posts/350796875372046?__xts__%5B0%5D=68.ARBmNhm2yBJvbzOc90P6wu2sfvXq8zoM_JCWD9A7iMH0HRv7gO6JjQFWwsGBwYIV8ZFej3YfqxmKkn5lhg7edkCOnEia4sSp1UCV0P54ZGJaUPJZA5UfO8z_uWn5VsBI0VpRphVF76voWy5oKe7XvrMl1rP-L8jl7dv2scEBybfMo1avmhhMtwNcusBNXFqZpxQufvzAs9qWN7vCi7-0RSnYCVDIl0haWWgD-6YNM1XbO7dYXxH6MDSSjIrRjqgH-iJSzKso1EajtcJ3Px0eRVYnGkcyi71hTGcjIvXl9gK4SThXvpHKBqn9bQIDCO-xjahENYuWo52bmzPqk_7St98&amp;__tn__=-R" TargetMode="External"/><Relationship Id="rId348" Type="http://schemas.openxmlformats.org/officeDocument/2006/relationships/hyperlink" Target="https://drive.google.com/file/d/1L5JYtTDo4qheM2CrB5xyPFna4ttVW6ec/view?usp=sharing" TargetMode="External"/><Relationship Id="rId555" Type="http://schemas.openxmlformats.org/officeDocument/2006/relationships/hyperlink" Target="https://www.scoopwhoop.com/dog-burnt-by-acid-recovers/" TargetMode="External"/><Relationship Id="rId762" Type="http://schemas.openxmlformats.org/officeDocument/2006/relationships/hyperlink" Target="https://www.facebook.com/IndiaHSI/posts/777560699306906" TargetMode="External"/><Relationship Id="rId194" Type="http://schemas.openxmlformats.org/officeDocument/2006/relationships/hyperlink" Target="https://www.facebook.com/332058007498381/posts/362717924432389/?d=n" TargetMode="External"/><Relationship Id="rId208" Type="http://schemas.openxmlformats.org/officeDocument/2006/relationships/hyperlink" Target="https://m.facebook.com/story.php?story_fbid=10218245716761969&amp;id=1461825229" TargetMode="External"/><Relationship Id="rId415" Type="http://schemas.openxmlformats.org/officeDocument/2006/relationships/hyperlink" Target="https://www.scoopwhoop.com/stop-wedding-animal-abuse/" TargetMode="External"/><Relationship Id="rId622" Type="http://schemas.openxmlformats.org/officeDocument/2006/relationships/hyperlink" Target="https://www.facebook.com/groups/PALThane/permalink/1645556642160041/" TargetMode="External"/><Relationship Id="rId261" Type="http://schemas.openxmlformats.org/officeDocument/2006/relationships/hyperlink" Target="https://www.facebook.com/photo.php?fbid=1244027692464382&amp;set=a.167004873500008&amp;type=3" TargetMode="External"/><Relationship Id="rId499" Type="http://schemas.openxmlformats.org/officeDocument/2006/relationships/hyperlink" Target="https://timesofindia.indiatimes.com/city/kochi/Case-against-man-for-killing-stray-dog/articleshow/50252830.cms" TargetMode="External"/><Relationship Id="rId927" Type="http://schemas.openxmlformats.org/officeDocument/2006/relationships/hyperlink" Target="https://www.facebook.com/332058007498381/posts/520624528641727/?d=n" TargetMode="External"/><Relationship Id="rId56" Type="http://schemas.openxmlformats.org/officeDocument/2006/relationships/hyperlink" Target="https://www.facebook.com/bluecrossofindia/photos/a.421535982169/10151734055822170/?type=3&amp;theater" TargetMode="External"/><Relationship Id="rId359" Type="http://schemas.openxmlformats.org/officeDocument/2006/relationships/hyperlink" Target="https://www.hindustantimes.com/bhopal/animal-rights-activists-flay-cong-for-using-donkeys-during-protest-in-jabalpur/story-U5VALJz14vhOpSMa2uu5WK.html" TargetMode="External"/><Relationship Id="rId566" Type="http://schemas.openxmlformats.org/officeDocument/2006/relationships/hyperlink" Target="https://www.hindustantimes.com/gurgaon/gurgaon-when-dogs-put-residents-and-activists-at-odds/story-AUqDJFLK1BrKBwCuEIdr4N.html" TargetMode="External"/><Relationship Id="rId773" Type="http://schemas.openxmlformats.org/officeDocument/2006/relationships/hyperlink" Target="https://www.facebook.com/PrayasINDIA/posts/2455310397866940?__xts__%5B0%5D=68.ARA5-TTyQ_nWiZDCTxpitKk1zGjAWxdsfa2Jub4KnyrAwHrtHVROelA0XyOv5CInev16cCy1ScM9d4utTqsyrUbJqMj2qVeyFGURpeMMHqF5ks-tUTnG6i_gVx9GKUShm0i7VHbWp0uzw-YiXm6d7tcU_NZ_kFVAyG7Pl7nMp5UeV28zO6_XHZJ9i2dsimx9lBFzKtGZ6c8e3xEGJK8ZGQJA3zRTSxCKya8UCmN2UxTAlGQEB682fcVa5PkFI3bfFCl800dGj6uZfaC3VqJgMhtMOC5W9DGSFlBuCuG7wVkHzjVazQqGspEY-pf6So2cPlsu9ehjnrfsqrlLlY8ZV82yEQ&amp;__tn__=-R" TargetMode="External"/><Relationship Id="rId121" Type="http://schemas.openxmlformats.org/officeDocument/2006/relationships/hyperlink" Target="https://m.facebook.com/story.php?story_fbid=10214681358895250&amp;id=1461825229" TargetMode="External"/><Relationship Id="rId219" Type="http://schemas.openxmlformats.org/officeDocument/2006/relationships/hyperlink" Target="https://m.facebook.com/story.php?story_fbid=2955566924470325&amp;id=100000511394134" TargetMode="External"/><Relationship Id="rId426" Type="http://schemas.openxmlformats.org/officeDocument/2006/relationships/hyperlink" Target="https://www.thehindu.com/news/national/tamil-nadu/cow-and-bull-killed-in-erudhattam/article26253366.ece" TargetMode="External"/><Relationship Id="rId633" Type="http://schemas.openxmlformats.org/officeDocument/2006/relationships/hyperlink" Target="https://www.facebook.com/groups/thepound/permalink/2151773764833111?sfns=mo" TargetMode="External"/><Relationship Id="rId840" Type="http://schemas.openxmlformats.org/officeDocument/2006/relationships/hyperlink" Target="http://news.statetimes.in/26-bovines-rescued-4-smugglers-arrested/" TargetMode="External"/><Relationship Id="rId938" Type="http://schemas.openxmlformats.org/officeDocument/2006/relationships/hyperlink" Target="https://timesofindia.indiatimes.com/city/kolkata/as-dolphins-return-to-kolkata-bengal-men-torture-one-on-camera/articleshow/75678109.cms?utm_source=twitter.com&amp;utm_medium=social&amp;utm_campaign=TOIMobile" TargetMode="External"/><Relationship Id="rId67" Type="http://schemas.openxmlformats.org/officeDocument/2006/relationships/hyperlink" Target="https://www.facebook.com/resqct/photos/a.10150469322911101/10153414009106101/?type=3" TargetMode="External"/><Relationship Id="rId272" Type="http://schemas.openxmlformats.org/officeDocument/2006/relationships/hyperlink" Target="https://www.facebook.com/groups/goapetlife/permalink/2205574539542496/" TargetMode="External"/><Relationship Id="rId577" Type="http://schemas.openxmlformats.org/officeDocument/2006/relationships/hyperlink" Target="https://www.facebook.com/515559508482249/posts/1449947158376808/?d=n" TargetMode="External"/><Relationship Id="rId700" Type="http://schemas.openxmlformats.org/officeDocument/2006/relationships/hyperlink" Target="https://twitter.com/neerajberi01/status/1077251951987875840?s=21" TargetMode="External"/><Relationship Id="rId132" Type="http://schemas.openxmlformats.org/officeDocument/2006/relationships/hyperlink" Target="https://www.facebook.com/1566292063647969/posts/2086886731588497/?d=n" TargetMode="External"/><Relationship Id="rId784" Type="http://schemas.openxmlformats.org/officeDocument/2006/relationships/hyperlink" Target="https://www.timesnownews.com/mirror-now/crime/article/kharghar-mumbai-man-rapes-dog-then-forces-it-into-performing-oral-sex-arrested-after-video-goes-viral/474360" TargetMode="External"/><Relationship Id="rId437" Type="http://schemas.openxmlformats.org/officeDocument/2006/relationships/hyperlink" Target="https://www.facebook.com/PrayasINDIA/posts/2455310397866940?__xts__%5B0%5D=68.ARA5-TTyQ_nWiZDCTxpitKk1zGjAWxdsfa2Jub4KnyrAwHrtHVROelA0XyOv5CInev16cCy1ScM9d4utTqsyrUbJqMj2qVeyFGURpeMMHqF5ks-tUTnG6i_gVx9GKUShm0i7VHbWp0uzw-YiXm6d7tcU_NZ_kFVAyG7Pl7nMp5UeV28zO6_XHZJ9i2dsimx9lBFzKtGZ6c8e3xEGJK8ZGQJA3zRTSxCKya8UCmN2UxTAlGQEB682fcVa5PkFI3bfFCl800dGj6uZfaC3VqJgMhtMOC5W9DGSFlBuCuG7wVkHzjVazQqGspEY-pf6So2cPlsu9ehjnrfsqrlLlY8ZV82yEQ&amp;__tn__=-R" TargetMode="External"/><Relationship Id="rId644" Type="http://schemas.openxmlformats.org/officeDocument/2006/relationships/hyperlink" Target="https://www.facebook.com/VOVHYD/videos/982962425215857/?__xts__%5B0%5D=68.ARCcEPLbmliVc6Wz-8-VUt4ZFHIV2_0Y1ytaABYbfZmfF49OLnGDJyQEIxlrdmQwyay0u-SUoz7Yj85e5Ev_EgI5nTkUlL3zWXovJcAhe47eKeBoGoCVg5x2eq5U9yFnfMIPB5IykL8uhWAc03EdpsrSDyqMsRmJColYgJ20Yh6yrQLS10sEYEoaImHXzQq9542dU-KqLlm7We5cRBtAtuZR5uJuc6XHcUG5d5JmCbzm4lg3UZ8Te2q5PY37hv6qplECd3dT-jiWnu3zW2sb3w0ySCzSYw2tCNbCKP_y89_jrgcXeVACM9j3Lh7yOkx5ML3AfbVr_U8Vbis&amp;__tn__=-R" TargetMode="External"/><Relationship Id="rId851" Type="http://schemas.openxmlformats.org/officeDocument/2006/relationships/hyperlink" Target="https://www.scoopwhoop.com/animals/animal-brutality-dog-beaten-with-iron-rod-in-delhi-sukhdev-vihar/" TargetMode="External"/><Relationship Id="rId283" Type="http://schemas.openxmlformats.org/officeDocument/2006/relationships/hyperlink" Target="https://m.facebook.com/story.php?story_fbid=2239762269389320&amp;id=706671326031763" TargetMode="External"/><Relationship Id="rId490" Type="http://schemas.openxmlformats.org/officeDocument/2006/relationships/hyperlink" Target="https://m.facebook.com/story.php?story_fbid=10153594369453259&amp;id=265906613258" TargetMode="External"/><Relationship Id="rId504" Type="http://schemas.openxmlformats.org/officeDocument/2006/relationships/hyperlink" Target="https://m.facebook.com/story.php?story_fbid=599661440188145&amp;id=265906613258" TargetMode="External"/><Relationship Id="rId711" Type="http://schemas.openxmlformats.org/officeDocument/2006/relationships/hyperlink" Target="http://www.uniindia.com/two-women-identified-in-puppies-s-killing/east/news/1468646.html" TargetMode="External"/><Relationship Id="rId949" Type="http://schemas.openxmlformats.org/officeDocument/2006/relationships/hyperlink" Target="https://poknapham.in/daily/english/4778" TargetMode="External"/><Relationship Id="rId78" Type="http://schemas.openxmlformats.org/officeDocument/2006/relationships/hyperlink" Target="https://m.facebook.com/story.php?story_fbid=10154190739491807&amp;id=593321806" TargetMode="External"/><Relationship Id="rId143" Type="http://schemas.openxmlformats.org/officeDocument/2006/relationships/hyperlink" Target="https://www.facebook.com/wag.india/posts/790491004467290" TargetMode="External"/><Relationship Id="rId350" Type="http://schemas.openxmlformats.org/officeDocument/2006/relationships/hyperlink" Target="https://www.inquisitr.com/685456/fortune-telling-parrots-busted-video/" TargetMode="External"/><Relationship Id="rId588" Type="http://schemas.openxmlformats.org/officeDocument/2006/relationships/hyperlink" Target="https://www.facebook.com/groups/PALThane/permalink/1459942324054808/" TargetMode="External"/><Relationship Id="rId795" Type="http://schemas.openxmlformats.org/officeDocument/2006/relationships/hyperlink" Target="https://www.facebook.com/672556282849906/posts/2130530133719173?sfns=mo" TargetMode="External"/><Relationship Id="rId809" Type="http://schemas.openxmlformats.org/officeDocument/2006/relationships/hyperlink" Target="https://www.facebook.com/animalwelfareassociationofpanchkula/posts/2567155133512114?__xts__%5B0%5D=68.ARADtiY-4XyeSCKTEOkB6jrlwSWI-Lcg1qDzKY0JdcD7sSS-rX9ktWI_TjRaa4DIqkLCP2T0k6p95rSsw2_OiGfJOwZQaNILMMC3rXUkj5wM45Dlpmlcl7tZc2IARpLttQQq1vNvUGRfPeb3tJ9OtITnHODwCYKJDjLNEWJRymGtfTda7pUquOjoSZisd4KPelO39eVZI08EwOEdSBu9fqQQ6BWuK8nSxKtyhpsnaWmeczYXJoLVT8t45pfYtSw7feeQo87OVUVkERqTPi4OtUSEX17jUg4rFVZz8Q3eiQIt9ONMvvLmYtysqVXYlSKUzbVCrn-3MrD1kIeJmZ8m9M1_ivSj&amp;__tn__=-R" TargetMode="External"/><Relationship Id="rId9" Type="http://schemas.openxmlformats.org/officeDocument/2006/relationships/hyperlink" Target="https://timesofindia.indiatimes.com/city/pune/in-pune-4-dogs-burned-alive-16-poisoned/articleshow/60933868.cms" TargetMode="External"/><Relationship Id="rId210" Type="http://schemas.openxmlformats.org/officeDocument/2006/relationships/hyperlink" Target="https://www.facebook.com/HIS.Jaipur/posts/2888736254531813?__xts__%5B0%5D=68.ARDmXrND9fq2oRvprgNuRykPCBe_2ohCdi3WdVflYXlc9U_0PAuoOUD5rAvfoxA9Q0Tng1JkAcj7inkF25YhAMJNfWSWqumdMy7Ddmj-U-iTmHtElR_0o7B7VIbK4PneDgjbEk2pUiOnQogmsoop0ezynuyeL3kbXTKpRr0L0lUw1UZcJrhbNZwtMCGby8B8x5-UJnLYlTjtn09zC6zM9buOJcA7JkTmMM9aD7yHEW4K-dG35IrR33viwRqZooVK6qLT8DwE9emzcLV9dSJvSchnsbXSaAqRCKkj190-HywB-8tJzDbrUp6CV6I8Cdo5bSi4BmMjMG4QjYdURuvWJJBCug&amp;__tn__=-R" TargetMode="External"/><Relationship Id="rId448" Type="http://schemas.openxmlformats.org/officeDocument/2006/relationships/hyperlink" Target="https://www.youtube.com/watch?v=ahYt9EE6Nt0" TargetMode="External"/><Relationship Id="rId655" Type="http://schemas.openxmlformats.org/officeDocument/2006/relationships/hyperlink" Target="https://www.facebook.com/groups/PALThane/permalink/1812926972089673/" TargetMode="External"/><Relationship Id="rId862" Type="http://schemas.openxmlformats.org/officeDocument/2006/relationships/hyperlink" Target="https://www.facebook.com/permalink.php?story_fbid=1031583217221846&amp;id=100011105310130" TargetMode="External"/><Relationship Id="rId294" Type="http://schemas.openxmlformats.org/officeDocument/2006/relationships/hyperlink" Target="https://www.facebook.com/groups/indiaanimalforum/permalink/2686953434720218/" TargetMode="External"/><Relationship Id="rId308" Type="http://schemas.openxmlformats.org/officeDocument/2006/relationships/hyperlink" Target="https://www.facebook.com/404141329712954/posts/2618728678254197/" TargetMode="External"/><Relationship Id="rId515" Type="http://schemas.openxmlformats.org/officeDocument/2006/relationships/hyperlink" Target="https://www.indiatoday.in/india/video/chhattisgarh-police-film-brutal-shooting-of-sloth-bear-441568-2016-04-21" TargetMode="External"/><Relationship Id="rId722" Type="http://schemas.openxmlformats.org/officeDocument/2006/relationships/hyperlink" Target="https://timesofindia.indiatimes.com/city/delhi/man-held-for-flogging-stray-dogs-in-w-delhi/articleshow/67934705.cms" TargetMode="External"/><Relationship Id="rId89" Type="http://schemas.openxmlformats.org/officeDocument/2006/relationships/hyperlink" Target="https://m.facebook.com/story.php?story_fbid=10154800242176807&amp;id=593321806" TargetMode="External"/><Relationship Id="rId154" Type="http://schemas.openxmlformats.org/officeDocument/2006/relationships/hyperlink" Target="https://www.facebook.com/AnimalAidUnlimited/photos/a.395406128258/10156951587623259/?type=3&amp;__xts__%5B0%5D=68.ARCYqp3Nw8QiEUir7s3Yw2sPlg2LDKWJ49UmtUGDZ4tCZOfj7bVQrm15XxiHYUHP-ETckAbxWVK_z_-yVUigAOflz0IL9BRX1RvKIdHMUxOvXm29_xSDcDujmXV5HDys2nYkAkSW2QWuAM0ISIguY7y3-RfD8M-8OjvwwMwUYyXcxzSjw9MaVw7B3-W3VWvNjA-E_C1K8ulf6soTMVvBAH_5P-KlBWEZCVGHyN6wUDJc1KiEsYdg_fFzu5v7Nqks1oc-dPnLN_gEcYFAxHHbuuywQezoz5lLf5qALIVzf3uWcWWNuM8YAYeJKvw8K3rJJrYhKLlB8jqNjvOif6ag&amp;__tn__=-R" TargetMode="External"/><Relationship Id="rId361" Type="http://schemas.openxmlformats.org/officeDocument/2006/relationships/hyperlink" Target="https://www.facebook.com/bluecrossofindia/photos/a.421535982169/10153052577277170/?type=3" TargetMode="External"/><Relationship Id="rId599" Type="http://schemas.openxmlformats.org/officeDocument/2006/relationships/hyperlink" Target="https://m.facebook.com/story.php?story_fbid=1777495452285027&amp;id=100000737685846" TargetMode="External"/><Relationship Id="rId459" Type="http://schemas.openxmlformats.org/officeDocument/2006/relationships/hyperlink" Target="https://www.facebook.com/guni27/posts/10219227477032170" TargetMode="External"/><Relationship Id="rId666" Type="http://schemas.openxmlformats.org/officeDocument/2006/relationships/hyperlink" Target="https://m.facebook.com/story.php?story_fbid=914138132120008&amp;id=100005714887443" TargetMode="External"/><Relationship Id="rId873" Type="http://schemas.openxmlformats.org/officeDocument/2006/relationships/hyperlink" Target="https://www.facebook.com/groups/indiaanimalforum/permalink/2692727277476167/" TargetMode="External"/><Relationship Id="rId16" Type="http://schemas.openxmlformats.org/officeDocument/2006/relationships/hyperlink" Target="https://m.facebook.com/story.php?story_fbid=321236861695217&amp;id=100014267177915" TargetMode="External"/><Relationship Id="rId221" Type="http://schemas.openxmlformats.org/officeDocument/2006/relationships/hyperlink" Target="https://m.facebook.com/story.php?story_fbid=2967471859946498&amp;id=100000511394134" TargetMode="External"/><Relationship Id="rId319" Type="http://schemas.openxmlformats.org/officeDocument/2006/relationships/hyperlink" Target="https://www.facebook.com/groups/indiaanimalforum/permalink/2753840034698224/" TargetMode="External"/><Relationship Id="rId526" Type="http://schemas.openxmlformats.org/officeDocument/2006/relationships/hyperlink" Target="https://www.instagram.com/p/BHbDd7jBk-T/?utm_source=ig_web_copy_link" TargetMode="External"/><Relationship Id="rId733" Type="http://schemas.openxmlformats.org/officeDocument/2006/relationships/hyperlink" Target="https://www.facebook.com/kochharvikram/posts/336993606929141?__xts__%5B0%5D=68.ARDRuv8N1oDTLe02L0Lr0DOGOkauhkMHYHD9jnjqFTLzMYV3ckbRFVipYqvx6gcJKpNuHrLcmXeHaj06j37Yp-EiyPoLEU3JXoEdHqoFdSmYaY2oFcjaDcvjo6Nnpyn3_ig-lJkEvwF1L6MP6E2RdZgrke5bKTvmuOLiM_3SXC-TxXevm00n76e7NFkVaMYWWIZBsa7R4XQ9p1kRld_EfaCap03H72ahhbTO_wjrtXpWL1RzsSYAyjKTy2fg7ZLpYkYedDcwYz4V25ZK9WTiUYw22Iy7HqvbsL8PF254x6PNwAENzmQN7ZpEmU-RbOVOYuwQ3wUHsFKKv-XwyPOIhuk&amp;__tn__=-R" TargetMode="External"/><Relationship Id="rId940" Type="http://schemas.openxmlformats.org/officeDocument/2006/relationships/hyperlink" Target="https://www.thenewsminute.com/article/tn-police-arrest-18-year-old-man-posting-tiktok-video-after-killing-cat-125076" TargetMode="External"/><Relationship Id="rId165" Type="http://schemas.openxmlformats.org/officeDocument/2006/relationships/hyperlink" Target="https://www.facebook.com/wag.india/posts/1280794588770260" TargetMode="External"/><Relationship Id="rId372" Type="http://schemas.openxmlformats.org/officeDocument/2006/relationships/hyperlink" Target="https://www.petaindia.com/blog/shocking-horses-abused-blood/" TargetMode="External"/><Relationship Id="rId677" Type="http://schemas.openxmlformats.org/officeDocument/2006/relationships/hyperlink" Target="https://www.facebook.com/arcKolkata63/posts/2230380373661732?__xts__%5B0%5D=68.ARBb-Z4froeOYQAhRgD1-onhB_ClmilkTzuolAVSORGz0MGbcZZG-x0a00pm5yXMdk0CEeVKsLm_Rc_6CKfIebHPDCjlopmugDZjnzMR_N1_r9xKKDSuH1pr8JGzF_CgnA8ZoEJYVoD5jodGgcD1cd1zozbpi0urqOBEa3RgEGDTbgZXjumJe-O80aG836sRPYzlNAdZgzAGY4GIxLZ_oEr--0iGpBZSEzEWHotPFsY2O8uIWihkjbbPqWpsxe9-wBGBH3DoZgkdeyqUVbk4iLXSh_vhbTqujV6WfHNLv68orOHLej1AlXucMfQMUwypeQ1DpVp8vKVsLrQSCseX6NxzjreB&amp;__tn__=-R" TargetMode="External"/><Relationship Id="rId800" Type="http://schemas.openxmlformats.org/officeDocument/2006/relationships/hyperlink" Target="https://timesofindia.indiatimes.com/city/chandigarh/volunteers-report-absence-of-care-for-animals-at-government-shelter-mp-responds/articleshow/71212678.cms" TargetMode="External"/><Relationship Id="rId232" Type="http://schemas.openxmlformats.org/officeDocument/2006/relationships/hyperlink" Target="https://www.facebook.com/pfakollam/videos/vb.840811579305912/328081004498259/?type=2&amp;theater" TargetMode="External"/><Relationship Id="rId884" Type="http://schemas.openxmlformats.org/officeDocument/2006/relationships/hyperlink" Target="https://www.conservationindia.org/gallery/illegal-wildlife-poaching-and-trade-in-tamenglong-manipur?fbclid=IwAR1dxLpr7octxGQpIlOuNS_CJ2rOgjK_EObUAeenB7oA7MuVFqiqR3PyYSA" TargetMode="External"/><Relationship Id="rId27" Type="http://schemas.openxmlformats.org/officeDocument/2006/relationships/hyperlink" Target="https://www.facebook.com/abhinav.srihan/posts/10155785370887120" TargetMode="External"/><Relationship Id="rId537" Type="http://schemas.openxmlformats.org/officeDocument/2006/relationships/hyperlink" Target="https://www.facebook.com/1490798644550799/posts/1612219322408730/?d=n" TargetMode="External"/><Relationship Id="rId744" Type="http://schemas.openxmlformats.org/officeDocument/2006/relationships/hyperlink" Target="https://youtu.be/NUZ_nvF-99A" TargetMode="External"/><Relationship Id="rId951" Type="http://schemas.openxmlformats.org/officeDocument/2006/relationships/hyperlink" Target="https://www.thedodo.com/monkey-mumbai-india-theft-1596082898.html" TargetMode="External"/><Relationship Id="rId80" Type="http://schemas.openxmlformats.org/officeDocument/2006/relationships/hyperlink" Target="https://www.facebook.com/PrayasINDIA/posts/1099205263477467?__xts__%5B0%5D=68.ARDdVaA8muswb8jQjKW8u_L6nUeGsYxDXRVtCQDphrZsEb6xADN_-_YhMyVQLHg_mBLX7cNJXZQNhMTqBXgHVnY9EveERczy-jfvlFkqBn6wufoTi-72U_qwtp7bYA2guJFJyic5iCDZOX02xiGymRdvTBmFbgvGtEDtGIma3-pmRxmYURu6T93arAjpryotToB66VadN2mKX90wC7BnVHjFDb-RQJmz_IpDoD5ZuX8abOTkpsxzN1OgAlalq6BqhYpymTXHrkWKevaNsyKoEihxt9D4aN5XkEnYdIl-zWoH5gbi1CTRANEHDF7N89jhXq6XBh9A7o71asBmq2UqWHU7KnzcvPcNFKM9xhKVFFDiIqJTcfJJ93OUq5alewQU8AAE-x3cwpbPh-ztRAFvO-WX68WrvlANDKCcP8YB6E0wC8_f5Tj27N8c5XwKI09ThfC8ns8ssEwn3ZpHLt3f&amp;__tn__=-R" TargetMode="External"/><Relationship Id="rId176" Type="http://schemas.openxmlformats.org/officeDocument/2006/relationships/hyperlink" Target="https://www.facebook.com/PrayasINDIA/photos/a.140054619392541/2270139623050686/?type=3&amp;__xts__%5B0%5D=68.ARAzRy7NLPqS8o8XBVTXjEPeYuWZ2P80oBrLpNsja7hn7ukQvPNKpuQKfBfl7kXh8JwEPJsd6NP2f9Md4IIu4EXnvZjEp6HUxsKNRjs_M2p45pZpqAUf5FPaxvkDC1vyeUovO3boUx14tv5L0th50jo8GRVFmfwumyuNHPdCA6fcdSIni94CfgAlag0LIxxuCqwNRIBnTyw2gq0ppq6mr5x_uCff77qlo1DJRluvJyKbaYqfdYblJUy1O6Ta7oYEVUAvtfOKk2z7hGT7Q3xJseErwWr-reOzK6Ot6mfaOF4EEztvrKDfufpx09mNNO30wqMoO5OFkhL7NV6-boE1EgBLvA&amp;__tn__=-R" TargetMode="External"/><Relationship Id="rId383" Type="http://schemas.openxmlformats.org/officeDocument/2006/relationships/hyperlink" Target="http://www.indian364.com/india/49827/Animal-activists-unhappy-with-the-use-of-langurs-to-drive-away-monekys-at-Surajkund-Mela" TargetMode="External"/><Relationship Id="rId590" Type="http://schemas.openxmlformats.org/officeDocument/2006/relationships/hyperlink" Target="https://www.facebook.com/almightyanimalcaretrust/videos/892938164191080/" TargetMode="External"/><Relationship Id="rId604" Type="http://schemas.openxmlformats.org/officeDocument/2006/relationships/hyperlink" Target="https://www.timesnownews.com/india/article/odisha-bhubaneswar-man-thrashes-pet-dog-with-belt-animal-cruelty-viral-video/180589" TargetMode="External"/><Relationship Id="rId811" Type="http://schemas.openxmlformats.org/officeDocument/2006/relationships/hyperlink" Target="https://m.facebook.com/story.php?story_fbid=10219655812207128&amp;id=1271459027" TargetMode="External"/><Relationship Id="rId243" Type="http://schemas.openxmlformats.org/officeDocument/2006/relationships/hyperlink" Target="https://www.facebook.com/animalwelfareassociationofpanchkula/videos/1340741659420576/?__xts__%5B0%5D=68.ARBLtsySh3K4ZKMce5-LuoLqFKuQlxKWFk9vtxeiDwYHRmB0UHY-kNoahXjeWNJLA-go_ury6qM03Qn_uK2FneFqhu9Zg9SxQUa_F-DBfa_PIMWUW7FWu1M4_nhXX0Pq20sUPsSgdfm5IlQYtedyyUDnobvARlmD1uXMkXzqzb14GPD0Ae3etDsSrpzdMin8u6p190wuMjeroaezXoq5U6j-l6qgqOKn3Zmyt5ahNkL3ojYQXMzPShZaKEEWICMWx0LHvCOegc1F9HVWlgSG9uOZ5xJVQXGVaspSmFvgcxung_lg4mxvBwPQhm2t13b_wdBZemxDE4Cfq8UxWrzOQDF78Fpsh1j7JDs86sR7&amp;__tn__=-R" TargetMode="External"/><Relationship Id="rId450" Type="http://schemas.openxmlformats.org/officeDocument/2006/relationships/hyperlink" Target="https://www.deccanherald.com/state/top-karnataka-stories/kambalas-usain-bolt-srinivasa-gowda-dethroned-record-broken-805902.html" TargetMode="External"/><Relationship Id="rId688" Type="http://schemas.openxmlformats.org/officeDocument/2006/relationships/hyperlink" Target="http://www.greaterkashmir.com/news/india/58-cows-die-in-mp-shelter/270779.html" TargetMode="External"/><Relationship Id="rId895" Type="http://schemas.openxmlformats.org/officeDocument/2006/relationships/hyperlink" Target="https://timesofindia.indiatimes.com/city/ghaziabad/2-booked-for-drugging-dogs-in-gzb/articleshow/74126070.cms" TargetMode="External"/><Relationship Id="rId909" Type="http://schemas.openxmlformats.org/officeDocument/2006/relationships/hyperlink" Target="https://www.facebook.com/groups/Amritsar1/permalink/866804660408143/" TargetMode="External"/><Relationship Id="rId38" Type="http://schemas.openxmlformats.org/officeDocument/2006/relationships/hyperlink" Target="https://timesofindia.indiatimes.com/city/surat/Wounded-old-pony-rescued-being-treated/articleshow/37010041.cms" TargetMode="External"/><Relationship Id="rId103" Type="http://schemas.openxmlformats.org/officeDocument/2006/relationships/hyperlink" Target="https://m.facebook.com/story.php?story_fbid=1565042983567820&amp;id=336779206394210" TargetMode="External"/><Relationship Id="rId310" Type="http://schemas.openxmlformats.org/officeDocument/2006/relationships/hyperlink" Target="https://www.facebook.com/KALOTEANIMALTRUST/posts/2274247249534920" TargetMode="External"/><Relationship Id="rId548" Type="http://schemas.openxmlformats.org/officeDocument/2006/relationships/hyperlink" Target="https://www.facebook.com/1490798644550799/posts/1635722096725119/?d=n" TargetMode="External"/><Relationship Id="rId755" Type="http://schemas.openxmlformats.org/officeDocument/2006/relationships/hyperlink" Target="https://m.facebook.com/story.php?story_fbid=882768455397899&amp;id=100009942577579" TargetMode="External"/><Relationship Id="rId962" Type="http://schemas.openxmlformats.org/officeDocument/2006/relationships/hyperlink" Target="https://www.facebook.com/groups/1382277738753927/permalink/2539003883081301/" TargetMode="External"/><Relationship Id="rId91" Type="http://schemas.openxmlformats.org/officeDocument/2006/relationships/hyperlink" Target="https://m.facebook.com/story.php?story_fbid=10154807696141807&amp;id=593321806" TargetMode="External"/><Relationship Id="rId187" Type="http://schemas.openxmlformats.org/officeDocument/2006/relationships/hyperlink" Target="https://m.facebook.com/story.php?story_fbid=1282100711944484&amp;id=789045244583369" TargetMode="External"/><Relationship Id="rId394" Type="http://schemas.openxmlformats.org/officeDocument/2006/relationships/hyperlink" Target="https://www.facebook.com/wag.india/posts/809474659235591:0" TargetMode="External"/><Relationship Id="rId408" Type="http://schemas.openxmlformats.org/officeDocument/2006/relationships/hyperlink" Target="https://www.timesnownews.com/mirror-now/society/article/shocking-visual-of-merciless-trafficker-torturing-elephants-in-jaipur-goes-viral/239966" TargetMode="External"/><Relationship Id="rId615" Type="http://schemas.openxmlformats.org/officeDocument/2006/relationships/hyperlink" Target="https://www.hindustantimes.com/jaipur/ahead-of-raje-visit-bovines-beaten-up-to-clear-streets/story-BQpkcz097AgjrHH5lwYdzL.html" TargetMode="External"/><Relationship Id="rId822" Type="http://schemas.openxmlformats.org/officeDocument/2006/relationships/hyperlink" Target="https://timesofindia.indiatimes.com/city/kolkata/kolkata-langur-petrified-by-crackers-and-injured-rescued/articleshow/71799442.cms" TargetMode="External"/><Relationship Id="rId254" Type="http://schemas.openxmlformats.org/officeDocument/2006/relationships/hyperlink" Target="https://www.facebook.com/animalwelfareassociationofpanchkula/posts/2626128884281405?__xts__%5B0%5D=68.ARDdMceh4PhHGC5wt5JhzZrSYdF3r7lMjhrvJiJTKLskyD0ZThgMujW7yunKDsBXNJ3j8trqV6ADnfGHwzDtczAz_EeGmSDIq_KdsIUilnCcyjZaGNru_vw7XBNoGZ5EGGCyYG7GS8NqRi9k-F0D_F3Ub3EsBD_sG-KHam9prX-hCFnMO7IaD36w2OhB4K5rLxQoQwgn8Y7iVa3hlnu-racdq1zMlushigyjR-NWf7JlH6R8V2cu3smrpnctuR_pApeoRnoSfJvBfp8OwJwXnBbULB5WPd7D53WhIozeYkLK4XkWOJyTjFssw4xKeXF8Cd2k9HLOhzPA0CT7YRKZE6GCTbaT&amp;__tn__=-R" TargetMode="External"/><Relationship Id="rId699" Type="http://schemas.openxmlformats.org/officeDocument/2006/relationships/hyperlink" Target="https://www.facebook.com/296911701128564/photos/a.296913297795071/590213841798347/?type=3&amp;theater" TargetMode="External"/><Relationship Id="rId49" Type="http://schemas.openxmlformats.org/officeDocument/2006/relationships/hyperlink" Target="https://www.facebook.com/groups/sgacc/permalink/2850746154991263/" TargetMode="External"/><Relationship Id="rId114" Type="http://schemas.openxmlformats.org/officeDocument/2006/relationships/hyperlink" Target="https://www.facebook.com/groups/211555585962793/permalink/546589685792713/" TargetMode="External"/><Relationship Id="rId461" Type="http://schemas.openxmlformats.org/officeDocument/2006/relationships/hyperlink" Target="https://www.facebook.com/VIGYAPANI/posts/1837196806414687" TargetMode="External"/><Relationship Id="rId559" Type="http://schemas.openxmlformats.org/officeDocument/2006/relationships/hyperlink" Target="https://www.instagram.com/p/BN4xT0hBBb7/?utm_source=ig_web_copy_link" TargetMode="External"/><Relationship Id="rId766" Type="http://schemas.openxmlformats.org/officeDocument/2006/relationships/hyperlink" Target="https://www.facebook.com/kannananimalwelfare/posts/2022621034510084?__xts__%5B0%5D=68.ARDdqM__nxqV37C_mDmVc-JkJ_sQDzO8KhavQYI0RjC7TSH4RHWJ5uNWuu_joHWiMlYTIqgHvHBzeFdyjSHBDf8LI6KK2q3zQTIR_dyjePkmXClc4Z41kf_8QbOy6fToxbWrQLcaY6eYrddWxhOP8yIwkqt9AhuxTuxrrnFWTRWiB2CUQ-01FrbgdRxwb1GznJphOZpGY_cIH66UF5qOBYoH1ZpBvu01rR0AI3VV4F-TACJ0MRpn5ZmSn55BRvia0IjZqDzXpERl1tNG-su0cftOD7xRFVKr8TnjWGONBkeABW9nQxcuPX29Yw_rkybT6Sr3d5aHOUOb94nAxqPAYItiWQ&amp;__tn__=-R" TargetMode="External"/><Relationship Id="rId198" Type="http://schemas.openxmlformats.org/officeDocument/2006/relationships/hyperlink" Target="https://www.facebook.com/332058007498381/posts/371677170203131/?vh=e" TargetMode="External"/><Relationship Id="rId321" Type="http://schemas.openxmlformats.org/officeDocument/2006/relationships/hyperlink" Target="https://www.facebook.com/HIS.Jaipur/photos/a.1513994078672711/3549013151837450/?type=3&amp;__xts__%5B0%5D=68.ARBP-GyQOeKyvjY9lcruVhUA3TJjlv_j3qOY7ydNF2DvEGbTayP6aGiVi7JRAm2UfXwcB0Jvkqd-7ud2COs_s7PQGM5-H_2ux9LPkQMIBe7gy3r983TGg6xli9XLBxJsuIJfbhC7yKbe06a7G4wdklgWb7YnB6p_UpOr_cCVYuvTNNZDC41mc_-tUgOmgvCBImmScSuVdrIgPvVwh5haczvgnkLOYyykxh8GevoUW2-k0-ykdA7EZcLw0wTisgEfg4Vgi0_uOX61T6bSy3-zmOL9TxxtwYeHLpv1lf7jnPr8D3IqVsnagEFgGXfX_oFaoDfJilcwUvzLQvThC44vTFMkOw&amp;__tn__=-R" TargetMode="External"/><Relationship Id="rId419" Type="http://schemas.openxmlformats.org/officeDocument/2006/relationships/hyperlink" Target="https://www.telegraphindia.com/india/threatened-by-monkeys-agra-hires-monkeys/cid/1675428" TargetMode="External"/><Relationship Id="rId626" Type="http://schemas.openxmlformats.org/officeDocument/2006/relationships/hyperlink" Target="https://www.facebook.com/groups/PALThane/permalink/1655759034473135/" TargetMode="External"/><Relationship Id="rId833" Type="http://schemas.openxmlformats.org/officeDocument/2006/relationships/hyperlink" Target="https://www.facebook.com/permalink.php?story_fbid=979477339099101&amp;id=100011105310130" TargetMode="External"/><Relationship Id="rId265" Type="http://schemas.openxmlformats.org/officeDocument/2006/relationships/hyperlink" Target="https://www.facebook.com/pragati.khanna.50/posts/1252897908244027" TargetMode="External"/><Relationship Id="rId472" Type="http://schemas.openxmlformats.org/officeDocument/2006/relationships/hyperlink" Target="https://economictimes.indiatimes.com/blogs/onmyplate/animal-welfare-army-joins-the-ranks/" TargetMode="External"/><Relationship Id="rId900" Type="http://schemas.openxmlformats.org/officeDocument/2006/relationships/hyperlink" Target="https://www.facebook.com/groups/1382277738753927/permalink/2521973631450993/" TargetMode="External"/><Relationship Id="rId125" Type="http://schemas.openxmlformats.org/officeDocument/2006/relationships/hyperlink" Target="https://m.facebook.com/story.php?story_fbid=1941911519214296&amp;id=336779206394210" TargetMode="External"/><Relationship Id="rId332" Type="http://schemas.openxmlformats.org/officeDocument/2006/relationships/hyperlink" Target="http://www.pfabihar.org.in/Rescue.htm" TargetMode="External"/><Relationship Id="rId777" Type="http://schemas.openxmlformats.org/officeDocument/2006/relationships/hyperlink" Target="https://www.facebook.com/sfabbsr/videos/878763825830770/?__xts__%5b0%5d=68.ARBrHaR3JAfFU1UJJWwDE5N8oCKo2qdRxmQhBGMGGsncTdtie2HeoORQUlJTnzjsCKUG0EkK5aNxGcTQ9iE2yeXTgnDCVMrBYuJ6KWSNw97uwoh4xowtlLigfRFxsJOOufJBl_tztGCML_x7IqJugXhcg4krP1sogHKYHAevL2SGelkwhtHR" TargetMode="External"/><Relationship Id="rId637" Type="http://schemas.openxmlformats.org/officeDocument/2006/relationships/hyperlink" Target="https://m.facebook.com/story.php?story_fbid=1936668043071977&amp;id=336779206394210" TargetMode="External"/><Relationship Id="rId844" Type="http://schemas.openxmlformats.org/officeDocument/2006/relationships/hyperlink" Target="https://kalingatv.com/miscellany/shocking-cat-shot-in-bhubaneswar-of-odisha-admitted-to-ouat/" TargetMode="External"/><Relationship Id="rId276" Type="http://schemas.openxmlformats.org/officeDocument/2006/relationships/hyperlink" Target="https://www.facebook.com/groups/PALThane/permalink/2745136472202047/" TargetMode="External"/><Relationship Id="rId483" Type="http://schemas.openxmlformats.org/officeDocument/2006/relationships/hyperlink" Target="https://www.indiatoday.in/india/video/leopard-killed-jammu-and-kashmir-pulwama-animal-rights-427946-2015-02-27" TargetMode="External"/><Relationship Id="rId690" Type="http://schemas.openxmlformats.org/officeDocument/2006/relationships/hyperlink" Target="https://m.facebook.com/story.php?story_fbid=304908733457576&amp;id=113137995967985" TargetMode="External"/><Relationship Id="rId704" Type="http://schemas.openxmlformats.org/officeDocument/2006/relationships/hyperlink" Target="https://www.facebook.com/groups/sgacc/permalink/2059043480828205/" TargetMode="External"/><Relationship Id="rId911" Type="http://schemas.openxmlformats.org/officeDocument/2006/relationships/hyperlink" Target="https://www.facebook.com/kochharvikram/videos/224100011971971/?__xts__%5B0%5D=68.ARAUHmi3rir21ikAH_ksoPjsBBz965UrX_goo19QlZ55K_a0kTjYwgLvoLjdKbO596OaHekigIbCLbEaB-8cWqtYbaEvTCHeayF9kjmi3t7OTF17IH9pSH818mPCG1p634cJk5zktyPIFIu1rA7CNNqK3ep3JRff4S6SDuI7jVXsp8gcVovlRhQsnt4QQhvcaoiekj2ox8lr5qkdDmx25EbW_ZFyRnz2ht4vu-1Z4ClbSGw1ztr2gupt0Dx-cekRn5yVL5J871tkNPHgpj_1k0E4bNJ0rZAQ7K1G0tPwp3JWfpFRyCacc2ovO2wPMikvO7A7YZ9LI2BybMVOLNPugouNrHG1VytvuRI&amp;__tn__=-R" TargetMode="External"/><Relationship Id="rId40" Type="http://schemas.openxmlformats.org/officeDocument/2006/relationships/hyperlink" Target="https://www.facebook.com/wag.india/photos/pcb.1109226095927111/1109225942593793/?type=3&amp;theater" TargetMode="External"/><Relationship Id="rId136" Type="http://schemas.openxmlformats.org/officeDocument/2006/relationships/hyperlink" Target="https://www.facebook.com/HIS.Jaipur/posts/2120468078025305?__xts__%5B0%5D=68.ARAfryZLaJErRH8kngxF22fwzBX1kFFgCRga5j9ZTfJskaio98SLUizUMdYhf9w2fEkvPB4aHn4u-NqMXuj8a0Nm3E_Vwb4_g32aZLZgFYNCUTE7dOMFIB8YJuTk_FOxDbCiRvfR3GM3F_YcJOMkkEMiw9IgnhV-n-Wzd7dmzbx9sKMUKcfOKb2UYqMby4QaEnFZx4mPncH8aL7yVO28McCza49Ew9Nwj7Nk9gzAIzY31WkLOeZBtBKeNS7QvS72kOYD8QyY-gf40cJpLouhyCGgfB39Og-J7s4YYoJ4CZxiTNnajAD0vh-PMSaoFUTSEjDKziwxmEBx-m4MElp8mZSuCQ&amp;__tn__=-R" TargetMode="External"/><Relationship Id="rId343" Type="http://schemas.openxmlformats.org/officeDocument/2006/relationships/hyperlink" Target="https://www.thehindu.com/news/national/other-states/dolphin-water-park-project-state-on-the-defensive-against-ngos/article2950830.ece" TargetMode="External"/><Relationship Id="rId550" Type="http://schemas.openxmlformats.org/officeDocument/2006/relationships/hyperlink" Target="https://www.facebook.com/1490798644550799/posts/1639888752975120/?d=n" TargetMode="External"/><Relationship Id="rId788" Type="http://schemas.openxmlformats.org/officeDocument/2006/relationships/hyperlink" Target="https://www.facebook.com/groups/PALThane/permalink/2473704376011926/" TargetMode="External"/><Relationship Id="rId203" Type="http://schemas.openxmlformats.org/officeDocument/2006/relationships/hyperlink" Target="https://m.facebook.com/story.php?story_fbid=1107451542788665&amp;id=100005714887443" TargetMode="External"/><Relationship Id="rId648" Type="http://schemas.openxmlformats.org/officeDocument/2006/relationships/hyperlink" Target="https://timesofindia.indiatimes.com/city/raipur/civet-cat-killed-in-chhattisgarh-police-training-school-animal-rights-group-files-complaint/articleshow/64700888.cms" TargetMode="External"/><Relationship Id="rId855" Type="http://schemas.openxmlformats.org/officeDocument/2006/relationships/hyperlink" Target="https://www.facebook.com/Sparkthechange777/posts/1469149109923098?__xts__%5B0%5D=68.ARAfXsQ02laM6rx0zMQpWBwFeqeTbJDz39gGV_69zY9QhDvcWEktuclamdTBc9V26zh8L2IW60Hcm8wvN_p_WbJ4_msZrURtsnZ20gegIHGUNilV_rxp3iK-uRC8C_iFas_ql6VxU8fCKAu3aMx7FK4eP63ddmli2RDctUEZ6M2T3M0j5YUlRXFS8kMuoJNBm1YTrEOm51-57-P_z_lG0Z0cSXxbKpOjAUH1JuIz6wi35MKVxfMYVHgyfLX2txuBazdOOAThF8lgidFpl3_mARYEVnhUoF2glokM6JgzDZdLZJln08ij57HDfuuKtc9kYhTdK-aRqZi-32leGKEBdr96hQ&amp;__tn__=-R" TargetMode="External"/><Relationship Id="rId287" Type="http://schemas.openxmlformats.org/officeDocument/2006/relationships/hyperlink" Target="https://www.facebook.com/groups/683166908425471/permalink/3444964655579002/" TargetMode="External"/><Relationship Id="rId410" Type="http://schemas.openxmlformats.org/officeDocument/2006/relationships/hyperlink" Target="https://www.facebook.com/HIS.Jaipur/?__tn__=kC-R&amp;eid=ARDsnJYm2RxRK7NcroWjsIj0gIzPQoGnqalW3OXhWH9bI9B-0Zfiq_OD6oEoXrmySJd2UWtJVz_YIYMq&amp;hc_ref=ARSloouQibZ2-kMwJuPAZQf-hQ0EkpU7EJZkSw05WKwZ9uLxLFjD_glWxyQXxJhRLkU&amp;fref=nf&amp;__xts__%5B0%5D=68.ARDsNOKXriC2hn8jnY-ZZN-OQmn4RgTv_SifPNiN7-XnhIu8TFN-V44ctN2uVIr72HYaUFxvNByCkWQJP3G1XgvV7GypivXhtKmM99oB1uFVZ98elKNILwtnOpX7YAy5Z_5ETzNl5z_wdyTrNjE3QtmqAfYjYqx4t9WqGctnC96idwQfPmPTBISbrQr9levmpsuvmrVNyzcrA7mL3SiTtvlLEDvJ19EI0mWV4-n5VytCcEJ7XcWhqpSGnSnSnJeVsF6w65XxHN6TzdXliVVjnvoGWMI56HB7Apw8NcFaQ2yMkO-QyuvKPS-ysk-1M1l7ZcamD85H7IjxOmE2dtiRIb863A" TargetMode="External"/><Relationship Id="rId494" Type="http://schemas.openxmlformats.org/officeDocument/2006/relationships/hyperlink" Target="https://www.hindustantimes.com/punjab/man-smuggling-cattle-beaten-to-death-by-mob-in-nahan/story-whMYcKklR6actmUp0FfXBP.html" TargetMode="External"/><Relationship Id="rId508" Type="http://schemas.openxmlformats.org/officeDocument/2006/relationships/hyperlink" Target="https://m.facebook.com/story.php?story_fbid=10153965994143259&amp;id=265906613258" TargetMode="External"/><Relationship Id="rId715" Type="http://schemas.openxmlformats.org/officeDocument/2006/relationships/hyperlink" Target="https://m.facebook.com/story.php?story_fbid=10157269773391807&amp;id=593321806" TargetMode="External"/><Relationship Id="rId922" Type="http://schemas.openxmlformats.org/officeDocument/2006/relationships/hyperlink" Target="https://www.facebook.com/groups/1382277738753927/permalink/2528704070777949/" TargetMode="External"/><Relationship Id="rId147" Type="http://schemas.openxmlformats.org/officeDocument/2006/relationships/hyperlink" Target="https://www.facebook.com/HIS.Jaipur/posts/2320889324649845?__xts__%5B0%5D=68.ARDsiuHLOG6xEuudf01dp9NGrxiHZmxeaKS1K-fzgXSyo7pUZS8PCHznUGdSLeEH4CgfXlnkv8zQ0FbnoQumPHCoVdUL-87QxqtJi9QHNLdNCLIsWqK0scuiqcKlbgvRqXVsCZQoxHVWLZ2KgV9_ufW0bSw-_Bu7HVEimh5D6pI_-hvcpDUqzZ4edDk5cQQx89RbuaxsgM7id_2q9RwfkAwJWDrl8cexHDBRE9Y_RqZdy035MpetHV16hH6sj_Up4fdlrE1yXt9H7zj1t6ntP6WON6jau5jMMaJOnbjdmkDoIy2Jl8rCl1nJ7Lre7fDVvwWQdApofqo3ChTuDPUG-q9B5A&amp;__tn__=-R" TargetMode="External"/><Relationship Id="rId354" Type="http://schemas.openxmlformats.org/officeDocument/2006/relationships/hyperlink" Target="https://timesofindia.indiatimes.com/city/jaipur/Pony-dies-during-polo-match/articleshow/29322856.cms" TargetMode="External"/><Relationship Id="rId799" Type="http://schemas.openxmlformats.org/officeDocument/2006/relationships/hyperlink" Target="https://m.facebook.com/story.php?story_fbid=2624195907599982&amp;id=1905970829422497" TargetMode="External"/><Relationship Id="rId51" Type="http://schemas.openxmlformats.org/officeDocument/2006/relationships/hyperlink" Target="https://timesofindia.indiatimes.com/city/indore/mandsaur-civic-body-to-procure-latest-tools-to-catch-stray-dogs/articleshow/74216411.cms" TargetMode="External"/><Relationship Id="rId561" Type="http://schemas.openxmlformats.org/officeDocument/2006/relationships/hyperlink" Target="https://m.facebook.com/story.php?story_fbid=10154933843288259&amp;id=265906613258" TargetMode="External"/><Relationship Id="rId659" Type="http://schemas.openxmlformats.org/officeDocument/2006/relationships/hyperlink" Target="https://www.indiatoday.in/mail-today/story/ex-soldier-beaten-up-for-feeding-stray-dogs-1296457-2018-07-26" TargetMode="External"/><Relationship Id="rId866" Type="http://schemas.openxmlformats.org/officeDocument/2006/relationships/hyperlink" Target="http://www.pioneeredge.in/man-eater-leopard-shot-dead-in-haridwar/" TargetMode="External"/><Relationship Id="rId214" Type="http://schemas.openxmlformats.org/officeDocument/2006/relationships/hyperlink" Target="https://www.facebook.com/groups/PALThane/permalink/2430933416955689/" TargetMode="External"/><Relationship Id="rId298" Type="http://schemas.openxmlformats.org/officeDocument/2006/relationships/hyperlink" Target="https://www.facebook.com/BestPetService/posts/3416137278416152?__xts__%5B0%5D=68.ARDCLMRPTrchjYVZQ7XMRsa8FkSRVBUQl3ZxkSvrR23AU1Y0BJ-PA3VPoJURVqWwIHtE_hvAyyGsyLbmNRkb1ch_8jaDhC84KBtlqDLioqKGrrKxI0-0jdYBNrwIfCh7JHC18zsgY1lqGz0kOlo0OdFcKkP9bYQNBHpj27ky7BQzzi77kTvRCzOfIJv2ua07luubAa9nAJH7dH9dSFBtuvOn0r5IqD7BtCWjsW6rFDzSXvIPcp4MT9i8W9c22urq7OC-IE9Z_CMsB_nbLEf4bVA61ejAM3sNHj60JXEFaqeEWvE_FB8y5GaunButxMnROoAU7Q&amp;__tn__=H-R" TargetMode="External"/><Relationship Id="rId421" Type="http://schemas.openxmlformats.org/officeDocument/2006/relationships/hyperlink" Target="https://www.petaindia.com/features/latest-jallikattu-investigation-proves-laws-fail-bulls/" TargetMode="External"/><Relationship Id="rId519" Type="http://schemas.openxmlformats.org/officeDocument/2006/relationships/hyperlink" Target="https://www.instagram.com/p/BFzAb0LudK-/?utm_source=ig_web_copy_link" TargetMode="External"/><Relationship Id="rId158" Type="http://schemas.openxmlformats.org/officeDocument/2006/relationships/hyperlink" Target="https://www.facebook.com/wvshicksitc/posts/604170660006118" TargetMode="External"/><Relationship Id="rId726" Type="http://schemas.openxmlformats.org/officeDocument/2006/relationships/hyperlink" Target="https://www.facebook.com/kochharvikram/photos/a.329887234306445/330186137609888/?type=3&amp;__xts__%5B0%5D=68.ARC5Aq8wNE7cj-mv607zQ1pm3Dnf_NezLppIcPgNL64LsDdLF4Qx6lzjdSIHKbdD7D0Hi3OD0delc-bp87svN3px2do2NG510eyfrA3UxtQNsIKMIdMs5eZHebvFXMGxCJqlj3EYRIO8xyvIQCWRG4uOoN2zY1zWtkoUkm6r_pav9txwo4qaxmOlma-f4XfYY-aljZRqJnmYfcLXSZWTlQTdA7emZhJ4DY7s_yviDX7nlDP86f6kTPYIzHpeqYSC5rLC-NTXuE7fj3QooUCdQMWraWmg2cpn6bkBKkEZlv5UGqUHqF-voab7fuEgza8EiWe5Pfb_MYRfaMYZjCzs_v8&amp;__tn__=-R" TargetMode="External"/><Relationship Id="rId933" Type="http://schemas.openxmlformats.org/officeDocument/2006/relationships/hyperlink" Target="https://www.facebook.com/bruno.creado.11/videos/10215031830341852/" TargetMode="External"/><Relationship Id="rId62" Type="http://schemas.openxmlformats.org/officeDocument/2006/relationships/hyperlink" Target="https://www.facebook.com/AnimalRescueCentreSouthGoa/photos/a.154375887950715/550326911688942/?type=3&amp;theater&amp;ifg=1" TargetMode="External"/><Relationship Id="rId365" Type="http://schemas.openxmlformats.org/officeDocument/2006/relationships/hyperlink" Target="https://timesofindia.indiatimes.com/city/ahmedabad/Horse-torturer-arrested-after-activist-files-plaint/articleshow/52275577.cms" TargetMode="External"/><Relationship Id="rId572" Type="http://schemas.openxmlformats.org/officeDocument/2006/relationships/hyperlink" Target="https://www.hindustantimes.com/gurgaon/gurgaon-missing-dog-case-suspect-tells-cops-he-ate-dog-meat-but-not-brownie/story-XlB9MBP3C6GN2mUsCxNDGJ.html" TargetMode="External"/><Relationship Id="rId225" Type="http://schemas.openxmlformats.org/officeDocument/2006/relationships/hyperlink" Target="https://www.facebook.com/groups/goapetlife/permalink/1031935426906419/" TargetMode="External"/><Relationship Id="rId432" Type="http://schemas.openxmlformats.org/officeDocument/2006/relationships/hyperlink" Target="https://www.newindianexpress.com/nation/2019/jun/19/owner-mahout-jailed-in-chhattisgarh-for-forcing-ailing-tusker-to-entertain-and-beg-1991995.html" TargetMode="External"/><Relationship Id="rId877" Type="http://schemas.openxmlformats.org/officeDocument/2006/relationships/hyperlink" Target="https://www.facebook.com/100028004443786/posts/478351776441633/?d=n" TargetMode="External"/><Relationship Id="rId737" Type="http://schemas.openxmlformats.org/officeDocument/2006/relationships/hyperlink" Target="http://theshillongtimes.com/2019/04/01/bsf-alleges-extreme-cruelty-to-animals-by-cattle-smugglers/" TargetMode="External"/><Relationship Id="rId944" Type="http://schemas.openxmlformats.org/officeDocument/2006/relationships/hyperlink" Target="https://www.ndtv.com/india-news/pregnant-elephant-ate-pineapple-stuffed-with-crackers-in-kerala-she-died-standing-in-river-2239497" TargetMode="External"/><Relationship Id="rId73" Type="http://schemas.openxmlformats.org/officeDocument/2006/relationships/hyperlink" Target="https://www.facebook.com/1490798644550799/posts/1532262917071038/?d=n" TargetMode="External"/><Relationship Id="rId169" Type="http://schemas.openxmlformats.org/officeDocument/2006/relationships/hyperlink" Target="https://m.facebook.com/story.php?story_fbid=344170339531415&amp;id=113137995967985" TargetMode="External"/><Relationship Id="rId376" Type="http://schemas.openxmlformats.org/officeDocument/2006/relationships/hyperlink" Target="https://www.firstpost.com/india/cruel-festivals-in-karnataka-destroy-the-concept-of-animal-rights-and-need-to-be-wiped-out-3228116.html" TargetMode="External"/><Relationship Id="rId583" Type="http://schemas.openxmlformats.org/officeDocument/2006/relationships/hyperlink" Target="https://www.youtube.com/watch?v=fDZtQem-5Es&amp;feature=youtu.be&amp;fbclid=IwAR0vG3y8iikE7BAsdyJWlJFxABJhhxICNNZ8zAdtRDbbQ1CnIzH8CqLoOo4" TargetMode="External"/><Relationship Id="rId790" Type="http://schemas.openxmlformats.org/officeDocument/2006/relationships/hyperlink" Target="https://www.facebook.com/groups/sgacc/search/?query=acid%20attack&amp;epa=SEARCH_BOX" TargetMode="External"/><Relationship Id="rId804" Type="http://schemas.openxmlformats.org/officeDocument/2006/relationships/hyperlink" Target="https://www.facebook.com/groups/1382277738753927/permalink/2377765769205114/" TargetMode="External"/><Relationship Id="rId4" Type="http://schemas.openxmlformats.org/officeDocument/2006/relationships/hyperlink" Target="https://www.thenewsminute.com/tamils/157" TargetMode="External"/><Relationship Id="rId236" Type="http://schemas.openxmlformats.org/officeDocument/2006/relationships/hyperlink" Target="https://www.facebook.com/photo.php?fbid=722538888270338&amp;set=a.112058302651736&amp;type=3&amp;eid=ARBLvWrQf9EdJUuaC94-kmtFHZIPZ6mi5albtnlqO3nmS3pSeb-3mZSzdYxSZ5cjNOAAejuUkGyubcZf" TargetMode="External"/><Relationship Id="rId443" Type="http://schemas.openxmlformats.org/officeDocument/2006/relationships/hyperlink" Target="https://www.instagram.com/tv/B57RRLQl1hC/?hl=el" TargetMode="External"/><Relationship Id="rId650" Type="http://schemas.openxmlformats.org/officeDocument/2006/relationships/hyperlink" Target="https://timesofindia.indiatimes.com/city/chandigarh/panchkula-witnesses-2-cases-of-cruelty-towards-stray-dogs/articleshow/64788840.cms" TargetMode="External"/><Relationship Id="rId888" Type="http://schemas.openxmlformats.org/officeDocument/2006/relationships/hyperlink" Target="https://www.facebook.com/332058007498381/posts/505935553443958/?d=n" TargetMode="External"/><Relationship Id="rId303" Type="http://schemas.openxmlformats.org/officeDocument/2006/relationships/hyperlink" Target="https://www.facebook.com/groups/PALThane/permalink/2794772467238447/" TargetMode="External"/><Relationship Id="rId748" Type="http://schemas.openxmlformats.org/officeDocument/2006/relationships/hyperlink" Target="https://m.dailyhunt.in/news/india/english/banglahunt+english-epaper-bangeng/father+son+sets+dog+on+fire+in+durgapur-newsid-116036953" TargetMode="External"/><Relationship Id="rId955" Type="http://schemas.openxmlformats.org/officeDocument/2006/relationships/hyperlink" Target="https://www.facebook.com/511683712/posts/10158191389563713?sfns=mo" TargetMode="External"/><Relationship Id="rId84" Type="http://schemas.openxmlformats.org/officeDocument/2006/relationships/hyperlink" Target="https://www.assistinganimals.com/" TargetMode="External"/><Relationship Id="rId387" Type="http://schemas.openxmlformats.org/officeDocument/2006/relationships/hyperlink" Target="https://www.nationalgeographic.com/news/2017/07/wildlife-watch-india-monitor-lizard-poaching-plant-root-hatha-jodi/" TargetMode="External"/><Relationship Id="rId510" Type="http://schemas.openxmlformats.org/officeDocument/2006/relationships/hyperlink" Target="https://indianexpress.com/article/cities/delhi/delhi-dog-killer-arrested-viral-video-news-2756582/" TargetMode="External"/><Relationship Id="rId594" Type="http://schemas.openxmlformats.org/officeDocument/2006/relationships/hyperlink" Target="https://www.facebook.com/100001796681412/posts/1632382880164919/?d=n" TargetMode="External"/><Relationship Id="rId608" Type="http://schemas.openxmlformats.org/officeDocument/2006/relationships/hyperlink" Target="https://www.facebook.com/Peopleforanimalsonwheels/posts/2007174089555384?__xts__%5B0%5D=68.ARBTx76_a8uU2_yIiOUPtROOnZQiqR_Jc5LoHlNBL98ekNvad0acSPJX-ZtFmh8cnTqPNTL3V0NKg_F2bkYwbMfO_9ffOizNlO7Oie5aUdDt2imyxnIZx9P-Mv-dkdGXsqQigQBrc4vY1KiP0cOFBs_8NbTPNPRsVm9Du3IsJtNDVV0ykV3kKA7fwwWmXGtV4symk13iFz5Qx8fxvOB6l9sbOBvO7GqSt_s2J73Mqm-R_Bo-AOPwZOXCjS47__ngtXESkL4ilV31PKMP3_t5GpR6VJa9KtHou9V4FDwLG7IMks6-uXbxP1tLTzrVgeM&amp;__tn__=H-R" TargetMode="External"/><Relationship Id="rId815" Type="http://schemas.openxmlformats.org/officeDocument/2006/relationships/hyperlink" Target="https://www.facebook.com/332058007498381/posts/429137624457085/?vh=e" TargetMode="External"/><Relationship Id="rId247" Type="http://schemas.openxmlformats.org/officeDocument/2006/relationships/hyperlink" Target="https://www.facebook.com/PFATrivandrum/posts/1501133649972272" TargetMode="External"/><Relationship Id="rId899" Type="http://schemas.openxmlformats.org/officeDocument/2006/relationships/hyperlink" Target="https://www.facebook.com/groups/19045359536/permalink/10157058219509537/" TargetMode="External"/><Relationship Id="rId107" Type="http://schemas.openxmlformats.org/officeDocument/2006/relationships/hyperlink" Target="https://m.facebook.com/story.php?story_fbid=1626923284046456&amp;id=336779206394210" TargetMode="External"/><Relationship Id="rId454" Type="http://schemas.openxmlformats.org/officeDocument/2006/relationships/hyperlink" Target="https://timesofindia.indiatimes.com/city/chennai/6-carts-5km-30minutes-its-a-bull-run-this-pongal-at-padi/articleshow/73340644.cms" TargetMode="External"/><Relationship Id="rId661" Type="http://schemas.openxmlformats.org/officeDocument/2006/relationships/hyperlink" Target="https://m.facebook.com/story.php?story_fbid=2206981125996467&amp;id=100000538024102" TargetMode="External"/><Relationship Id="rId759" Type="http://schemas.openxmlformats.org/officeDocument/2006/relationships/hyperlink" Target="https://www.facebook.com/groups/sgacc/search/?query=acid%20attack&amp;epa=SEARCH_BOX" TargetMode="External"/><Relationship Id="rId966" Type="http://schemas.openxmlformats.org/officeDocument/2006/relationships/hyperlink" Target="https://indianexpress.com/article/north-east-india/assam/assam-leopard-killed-teeth-removed-subsequently-paraded-by-locals-in-guwahati-6447344/" TargetMode="External"/><Relationship Id="rId11" Type="http://schemas.openxmlformats.org/officeDocument/2006/relationships/hyperlink" Target="https://www.newskarnataka.com/mandya/miscreants-poison-30-monkeys-to-death-locals-perform-last-rites" TargetMode="External"/><Relationship Id="rId314" Type="http://schemas.openxmlformats.org/officeDocument/2006/relationships/hyperlink" Target="https://www.facebook.com/vosd.in/photos/a.222889541088119/2894914390552274/?type=3&amp;__tn__=-R" TargetMode="External"/><Relationship Id="rId398" Type="http://schemas.openxmlformats.org/officeDocument/2006/relationships/hyperlink" Target="https://www.tandfonline.com/doi/full/10.1080/23802359.2018.1501284?scroll=top&amp;needAccess=true" TargetMode="External"/><Relationship Id="rId521" Type="http://schemas.openxmlformats.org/officeDocument/2006/relationships/hyperlink" Target="https://www.facebook.com/PAWSDumDum/videos/1578194595811203/?vh=e&amp;d=n" TargetMode="External"/><Relationship Id="rId619" Type="http://schemas.openxmlformats.org/officeDocument/2006/relationships/hyperlink" Target="https://m.facebook.com/story.php?story_fbid=1883489258352312&amp;id=100000737685846" TargetMode="External"/><Relationship Id="rId95" Type="http://schemas.openxmlformats.org/officeDocument/2006/relationships/hyperlink" Target="https://www.facebook.com/sunitha.christy.3/posts/1848610775284514" TargetMode="External"/><Relationship Id="rId160" Type="http://schemas.openxmlformats.org/officeDocument/2006/relationships/hyperlink" Target="https://www.facebook.com/wvshicksitc/posts/606335703122947" TargetMode="External"/><Relationship Id="rId826" Type="http://schemas.openxmlformats.org/officeDocument/2006/relationships/hyperlink" Target="https://m.facebook.com/story.php?story_fbid=3085780511448965&amp;id=100000511394134" TargetMode="External"/><Relationship Id="rId258" Type="http://schemas.openxmlformats.org/officeDocument/2006/relationships/hyperlink" Target="https://m.facebook.com/story.php?story_fbid=1615107765299169&amp;id=725848997558388" TargetMode="External"/><Relationship Id="rId465" Type="http://schemas.openxmlformats.org/officeDocument/2006/relationships/hyperlink" Target="https://economictimes.indiatimes.com/blogs/onmyplate/animal-welfare-army-joins-the-ranks/" TargetMode="External"/><Relationship Id="rId672" Type="http://schemas.openxmlformats.org/officeDocument/2006/relationships/hyperlink" Target="https://m.facebook.com/story.php?story_fbid=929641343903020&amp;id=100005714887443" TargetMode="External"/><Relationship Id="rId22" Type="http://schemas.openxmlformats.org/officeDocument/2006/relationships/hyperlink" Target="https://m.facebook.com/story.php?story_fbid=10158224394081959&amp;id=772131958" TargetMode="External"/><Relationship Id="rId118" Type="http://schemas.openxmlformats.org/officeDocument/2006/relationships/hyperlink" Target="https://www.assistinganimals.com/" TargetMode="External"/><Relationship Id="rId325" Type="http://schemas.openxmlformats.org/officeDocument/2006/relationships/hyperlink" Target="https://www.facebook.com/groups/1382277738753927/permalink/2538763229772033/" TargetMode="External"/><Relationship Id="rId532" Type="http://schemas.openxmlformats.org/officeDocument/2006/relationships/hyperlink" Target="https://www.facebook.com/groups/sgacc/search/?query=acid%20attack&amp;epa=SEARCH_BOX" TargetMode="External"/><Relationship Id="rId171" Type="http://schemas.openxmlformats.org/officeDocument/2006/relationships/hyperlink" Target="https://m.facebook.com/story.php?story_fbid=10157273476194940&amp;id=819049939" TargetMode="External"/><Relationship Id="rId837" Type="http://schemas.openxmlformats.org/officeDocument/2006/relationships/hyperlink" Target="https://www.timesnownews.com/mirror-now/crime/article/agra-neighbours-torture-3-year-old-pet-dog-to-death-for-fun/522168" TargetMode="External"/><Relationship Id="rId269" Type="http://schemas.openxmlformats.org/officeDocument/2006/relationships/hyperlink" Target="https://www.facebook.com/pawsforacausencr/posts/1632258750250737?__xts__%5B0%5D=68.ARCOUpXCfDERtavjYH2hisWimQcOIb_kk3bdnFj_zJ7DafazrdfKByWl7BptwLCibf3jtCwpc2TDfnIPQQHrllhwSgN0U0fvFhgPzpGUB83F9It_YPXk21wK09juJ7ZExc4gyd_pCgRQmE3mkYX3Ibha5Ie3AULMg6JuyzYaPQTpdEX3cEf6cs1j1VCw5JouH6IZOFLV2EUAujn7961EO0lu59yfmOjRdwZ43kP03nK6BTQJCTMMjABsppWGqzBMx2Dx_E12fgmwQAt7JljwhgbDEuRhWMar9i69jsYwxYFXQO55r5jRMnzTOXbtGA&amp;__tn__=H-R" TargetMode="External"/><Relationship Id="rId476" Type="http://schemas.openxmlformats.org/officeDocument/2006/relationships/hyperlink" Target="https://www.facebook.com/groups/PALThane/permalink/2483899744992389/" TargetMode="External"/><Relationship Id="rId683" Type="http://schemas.openxmlformats.org/officeDocument/2006/relationships/hyperlink" Target="https://timesofindia.indiatimes.com/city/chandigarh/rising-animal-cruelty-cases-worry-activists/articleshow/66583625.cms" TargetMode="External"/><Relationship Id="rId890" Type="http://schemas.openxmlformats.org/officeDocument/2006/relationships/hyperlink" Target="https://www.change.org/p/people-for-the-animal-welf-justice-for-gia-sanction-man-who-cut-dog-s-legs-off-for-tik-toke-video" TargetMode="External"/><Relationship Id="rId904" Type="http://schemas.openxmlformats.org/officeDocument/2006/relationships/hyperlink" Target="https://www.facebook.com/groups/1382277738753927/permalink/2522012604780429/" TargetMode="External"/><Relationship Id="rId33" Type="http://schemas.openxmlformats.org/officeDocument/2006/relationships/hyperlink" Target="https://www.facebook.com/VOVHYD/videos/820948598299799/" TargetMode="External"/><Relationship Id="rId129" Type="http://schemas.openxmlformats.org/officeDocument/2006/relationships/hyperlink" Target="https://www.facebook.com/groups/531560163972253/permalink/707082096420058/" TargetMode="External"/><Relationship Id="rId336" Type="http://schemas.openxmlformats.org/officeDocument/2006/relationships/hyperlink" Target="https://drive.google.com/file/d/1lXb9Vd9swIFU_9gnC2YAXUvgIAVyuowB/view?usp=sharing" TargetMode="External"/><Relationship Id="rId543" Type="http://schemas.openxmlformats.org/officeDocument/2006/relationships/hyperlink" Target="https://timesofindia.indiatimes.com/city/guwahati/Mass-killing-of-birds-reported-in-Mizoram/articleshow/50925215.cms" TargetMode="External"/><Relationship Id="rId182" Type="http://schemas.openxmlformats.org/officeDocument/2006/relationships/hyperlink" Target="https://www.facebook.com/VOVHYD/videos/2335654846705620/?__xts__%5b0%5d=68.ARAZqbov-VZoW3fjsAXoG_X2c32sDZzjL9LmXXcJipyL6trELyd16hctcdB69249QH4zZePr4KZxotMfEgKSYO0LaCySJw_OtqS5in2big9xCf8VshJtCvOSHZ7FhlOqeg_cNfuSVkYkjNcDEu5waI0uVL7ZcJkelNM5JyUmDK9TeYSdyV3i" TargetMode="External"/><Relationship Id="rId403" Type="http://schemas.openxmlformats.org/officeDocument/2006/relationships/hyperlink" Target="https://www.facebook.com/AnimalAidUnlimited/videos/393015014772878/?__xts__%5B0%5D=68.ARATJIGs83ziUl0H_7UQ3P-e993byPQZlWzHAZcaxRxyqJqV94n46r0HroAja-7XMP5_K7SuXTFRzJejCmOHiDjL7EcIyf5H4A5Chspf4Ci47aa0ldtU48wvE0jF5p4VagC4lvkWvizgqRCYp2Lv4O65BAQ1jD4cNObt9Gr-CUGFKP-tXZ-Y5HCuUHItiWx0gq94ztpCfV3Hrablnqq1B6gjn0HAs4WUE08IT8-h2t4h-osqGLgub_HRV9NTga7yrpq2zRG_VB91nuCH-9XrN3PF9RALbwYEEecnQoV4xuneI0NWwn7lvF8WopFbtr1Ls4tm-csWscKvOWCMEV5SoEelZzbBAA&amp;__tn__=-R" TargetMode="External"/><Relationship Id="rId750" Type="http://schemas.openxmlformats.org/officeDocument/2006/relationships/hyperlink" Target="https://www.facebook.com/groups/help.animals.birds/permalink/2305475013041996/" TargetMode="External"/><Relationship Id="rId848" Type="http://schemas.openxmlformats.org/officeDocument/2006/relationships/hyperlink" Target="https://www.facebook.com/Sparkthechange777/videos/2908276469190665/" TargetMode="External"/><Relationship Id="rId487" Type="http://schemas.openxmlformats.org/officeDocument/2006/relationships/hyperlink" Target="https://www.hindustantimes.com/delhi/delhi-man-mercilessly-tortures-street-dog-posts-video-online/story-qquEKGXOhmwcT6wewK47UI.html" TargetMode="External"/><Relationship Id="rId610" Type="http://schemas.openxmlformats.org/officeDocument/2006/relationships/hyperlink" Target="https://punemirror.indiatimes.com/pune/civic/12-cats-fatally-poisoned-at-wakad-bungalow-soc/articleshow/61327070.cms" TargetMode="External"/><Relationship Id="rId694" Type="http://schemas.openxmlformats.org/officeDocument/2006/relationships/hyperlink" Target="https://timesofindia.indiatimes.com/city/hyderabad/dog-carcass-on-kukatpally-road-poisoning-suspected/articleshow/67111945.cms" TargetMode="External"/><Relationship Id="rId708" Type="http://schemas.openxmlformats.org/officeDocument/2006/relationships/hyperlink" Target="https://www.dailymail.co.uk/news/article-6568377/Performer-gnaws-raw-piglet-carcass-slaughtering-stage-traditional-Indian-play.html" TargetMode="External"/><Relationship Id="rId915" Type="http://schemas.openxmlformats.org/officeDocument/2006/relationships/hyperlink" Target="https://www.facebook.com/groups/295402470917142/permalink/896842027439847/" TargetMode="External"/><Relationship Id="rId347" Type="http://schemas.openxmlformats.org/officeDocument/2006/relationships/hyperlink" Target="https://timesofindia.indiatimes.com/Madurai-host-to-thrilling-goat-fights/articleshow/13741272.cms" TargetMode="External"/><Relationship Id="rId44" Type="http://schemas.openxmlformats.org/officeDocument/2006/relationships/hyperlink" Target="https://www.facebook.com/sonia.chaudhry1/posts/10219194482240300" TargetMode="External"/><Relationship Id="rId554" Type="http://schemas.openxmlformats.org/officeDocument/2006/relationships/hyperlink" Target="https://www.indiatoday.in/mail-today/story/delhi-resident-dog-puppy-animal-cruelty-legs-choopped-off-hacksaw-356055-2016-12-07" TargetMode="External"/><Relationship Id="rId761" Type="http://schemas.openxmlformats.org/officeDocument/2006/relationships/hyperlink" Target="https://timesofindia.indiatimes.com/city/ludhiana/four-booked-in-two-separate-cases-of-animal-cruelty/articleshow/69979967.cms" TargetMode="External"/><Relationship Id="rId859" Type="http://schemas.openxmlformats.org/officeDocument/2006/relationships/hyperlink" Target="https://www.facebook.com/groups/indiaanimalforum/permalink/2678906882191540/" TargetMode="External"/><Relationship Id="rId193" Type="http://schemas.openxmlformats.org/officeDocument/2006/relationships/hyperlink" Target="https://www.facebook.com/332058007498381/posts/360191604685021/?vh=e" TargetMode="External"/><Relationship Id="rId207" Type="http://schemas.openxmlformats.org/officeDocument/2006/relationships/hyperlink" Target="https://www.facebook.com/332058007498381/videos/461399954418217/?vh=e" TargetMode="External"/><Relationship Id="rId414" Type="http://schemas.openxmlformats.org/officeDocument/2006/relationships/hyperlink" Target="https://www.facebook.com/watch/?v=1894391607335769" TargetMode="External"/><Relationship Id="rId498" Type="http://schemas.openxmlformats.org/officeDocument/2006/relationships/hyperlink" Target="https://www.india.com/news/india/delhi-teenager-admitted-in-aiims-after-having-sex-with-baby-cow-804891/" TargetMode="External"/><Relationship Id="rId621" Type="http://schemas.openxmlformats.org/officeDocument/2006/relationships/hyperlink" Target="https://www.facebook.com/groups/PALThane/permalink/1645556642160041/" TargetMode="External"/><Relationship Id="rId260" Type="http://schemas.openxmlformats.org/officeDocument/2006/relationships/hyperlink" Target="https://m.facebook.com/story.php?story_fbid=1616155458527733&amp;id=725848997558388" TargetMode="External"/><Relationship Id="rId719" Type="http://schemas.openxmlformats.org/officeDocument/2006/relationships/hyperlink" Target="https://m.facebook.com/story.php?story_fbid=998690723664748&amp;id=100005714887443" TargetMode="External"/><Relationship Id="rId926" Type="http://schemas.openxmlformats.org/officeDocument/2006/relationships/hyperlink" Target="https://www.facebook.com/332058007498381/posts/520624528641727/?d=n" TargetMode="External"/><Relationship Id="rId55" Type="http://schemas.openxmlformats.org/officeDocument/2006/relationships/hyperlink" Target="https://www.facebook.com/groups/indiaanimalforum/permalink/2662525793829649/" TargetMode="External"/><Relationship Id="rId120" Type="http://schemas.openxmlformats.org/officeDocument/2006/relationships/hyperlink" Target="https://m.facebook.com/story.php?story_fbid=184120248869759&amp;id=113137995967985" TargetMode="External"/><Relationship Id="rId358" Type="http://schemas.openxmlformats.org/officeDocument/2006/relationships/hyperlink" Target="https://www.facebook.com/PrayasINDIA/photos/a.736852789712718/888974287833900/?type=3&amp;__xts__%5B0%5D=68.ARBuWLgB-N_ZE1-dnt9K2hETNLSoiBP660yuSUEriSAUF4s3NcMvQsOq20PEQ-_eOGOLk8uwdOD-J2UeJMZ-b9V3y4YxLOQv3tgkcSt5EOGQ8E_unqh_95mft9HhHGTLlQv8-oAfgKI-om-D8_04q3yjXJcr70FNS2VXbqizkUlM1mc2jEgzVAlSJp-_4-eagANfK3p_tLaZahKh01fovjby8hGHBJDXE82z9AYYTFlnOeKf1RYoQJ2UqcZRSJEajqrogEP4P3Ac95rWLSVJYnUnmM_a98J2LMc5Dtfvbovqj0QvEUw6_UhhrlbMvYNi4-4463oIoUp-Fm9YeNHV-lM&amp;__tn__=-R" TargetMode="External"/><Relationship Id="rId565" Type="http://schemas.openxmlformats.org/officeDocument/2006/relationships/hyperlink" Target="https://www.dnaindia.com/india/report-video-of-dog-being-beaten-up-to-death-goes-vial-dtu-guard-2326759" TargetMode="External"/><Relationship Id="rId772" Type="http://schemas.openxmlformats.org/officeDocument/2006/relationships/hyperlink" Target="https://timesofindia.indiatimes.com/city/bareilly/over-100-cattle-die-in-bmc-run-cow-shelter-mayor/articleshow/70270814.cms" TargetMode="External"/><Relationship Id="rId218" Type="http://schemas.openxmlformats.org/officeDocument/2006/relationships/hyperlink" Target="https://www.facebook.com/VermaSwati.SV/posts/10157850918711807?__xts__%5B0%5D=68.ARBAT1Woj1LNY-ug57iUYoUTaAFy-WqoHKxhU4fv_nZFoC4ZO_OK1TaC7bwoqm6PDDVbnqDeaBZ3gqD2ElZ_jabaT7AVJg9PXvYW9kP6rO4mHUZnuInRZKnfo8aFizhcYzu_DZKuoW6R2zWd5tXxt5fYH87TRMpLKOTRUy6b1cEnYod1kMZRTi8FHgxvoVOfvvMf-NODlioTrvNznMMeFaKwRD5gv1ichw4JBNhKkHSQZ4EOSDAwBRUjxwyAjU43oYLSHpvw9t2zRJeofLjmEQKQEVIheQ&amp;__tn__=-R" TargetMode="External"/><Relationship Id="rId425" Type="http://schemas.openxmlformats.org/officeDocument/2006/relationships/hyperlink" Target="https://www.facebook.com/VermaSwati.SV/posts/10157928326726807?__xts__%5B0%5D=68.ARDjpeTzE8l7iAw3VRRLnmjii1LMRhkYVhDbOqFiarAYTlMaBvbV0FjeFZNGGoS33CIRvwfj1GmsqmmXvFjtX9nACNb_tfiAhfVzEPidL2P87_xP-yGDk5Vi8ojt8NDxoF888BIZbXenwxHsUoltVo3BazZdR2J03n76qSz9zto1RJkfi4OVAOuMSp52bD6fwV1XpwP9LGWXWqZS-fiS8q4F73dSME41of6a42x40LsgWagexOafhBawUuvatzzKPMpCQR1bzj4VPft2-SiA-Pz9cUCBMQ&amp;__tn__=-R" TargetMode="External"/><Relationship Id="rId632" Type="http://schemas.openxmlformats.org/officeDocument/2006/relationships/hyperlink" Target="https://www.facebook.com/groups/1382277738753927/permalink/1992957697685925/" TargetMode="External"/><Relationship Id="rId271" Type="http://schemas.openxmlformats.org/officeDocument/2006/relationships/hyperlink" Target="https://m.facebook.com/story.php?story_fbid=1261600587373759&amp;id=100005714887443" TargetMode="External"/><Relationship Id="rId937" Type="http://schemas.openxmlformats.org/officeDocument/2006/relationships/hyperlink" Target="https://www.facebook.com/2078200855828722/photos/basw.AbrEtZ4P45g-ZrKWz1MKdXfM8GM6BXzxl7s2tSIAVT2sNf8r40G2ECO0PU7Xf0_mIB4clZZlDgDz7qYvbmXgqVkOLQFgpSISN-L7PqOCFjbY_DQv5IrIjGQsJztpBPenCpPnPMeNCIIx03yMhu-9Wu0L.2520350691613734.10153607713685377.706175196463725.1428092693949919.2890302230992609.2302710103350332/2520350691613734/?type=1&amp;opaqueCursor=Abp8ZV98thFo0c_AzoJEzdJxDknOajGeaiXpIylCJ8Dkm5LLEikWqYnImv2czx_AvafoT7D7klySMsWMjUJ__xJSBMATykUJZpOs5gOsiLv1jeCEVh91p_9ToZnk7tepQ-ygbQMVpYm1uiQPChI2HeyaoC1q9wU_abPBDfQ5yQSCQtOyhi8-xg3S6x8bDy0-QWBR51cEjd-ppSissjlpMo0r3379y3Fo4c5XIVdhnSbpbJz-_UtkJxhP-PY94PgGipeKk_Kon8pbh2RKZ93FCyDpUSpJoJ3OvDkcd3DC32aUUPkiYESEo7na6Cd43TYMW7g9gXbN54-EpOrpL_RzSr0RMf5TLpQ54meJqvczAEXzeKqS56nwa0hnkGnF-fa37iSNOwFUAiOhT5ASxYRq3BnjxTK9xrClN9r4MYnwRx_GUFHfF4eLqvv715NwD7YK225StPlB4jX7oOGntYEAgsEUhBZqFOJAHEE6EcX5h-smQfNs6yqV0rabj8APS9h4f5dANajlxfyxetE32cf_wtpCdIZbgye_EBo7JFnJdOho7A&amp;theater" TargetMode="External"/><Relationship Id="rId66" Type="http://schemas.openxmlformats.org/officeDocument/2006/relationships/hyperlink" Target="https://www.facebook.com/madhu.chanda.507/posts/2854429147917315" TargetMode="External"/><Relationship Id="rId131" Type="http://schemas.openxmlformats.org/officeDocument/2006/relationships/hyperlink" Target="https://m.facebook.com/story.php?story_fbid=10157546126674498&amp;id=614249497" TargetMode="External"/><Relationship Id="rId369" Type="http://schemas.openxmlformats.org/officeDocument/2006/relationships/hyperlink" Target="https://www.instagram.com/p/BJdb4E9BLM_/?utm_source=ig_web_copy_link" TargetMode="External"/><Relationship Id="rId576" Type="http://schemas.openxmlformats.org/officeDocument/2006/relationships/hyperlink" Target="https://www.thehindu.com/news/national/other-states/two-arrested-for-attacking-dogs-at-shelter-in-punjab/article18577559.ece" TargetMode="External"/><Relationship Id="rId783" Type="http://schemas.openxmlformats.org/officeDocument/2006/relationships/hyperlink" Target="https://www.indiatoday.in/india/story/ten-cows-die-chhattisgarh-shelter-suffocation-1582946-2019-08-20" TargetMode="External"/><Relationship Id="rId229" Type="http://schemas.openxmlformats.org/officeDocument/2006/relationships/hyperlink" Target="https://www.facebook.com/groups/PALThane/permalink/2520995081282855/" TargetMode="External"/><Relationship Id="rId436" Type="http://schemas.openxmlformats.org/officeDocument/2006/relationships/hyperlink" Target="https://www.facebook.com/goaanimalsave/posts/754987104913374" TargetMode="External"/><Relationship Id="rId643" Type="http://schemas.openxmlformats.org/officeDocument/2006/relationships/hyperlink" Target="https://m.facebook.com/story.php?story_fbid=205501030065014&amp;id=113137995967985" TargetMode="External"/><Relationship Id="rId850" Type="http://schemas.openxmlformats.org/officeDocument/2006/relationships/hyperlink" Target="https://www.facebook.com/Sparkthechange777/posts/1453259674845375?__xts__%5B0%5D=68.ARBvK9ZLA_uyMj2DumO2dmxrEAEDUOnTRjF7DdR4FiXul1dGSsQET-x25GUa-Z9Y1QMO7d6dvEQXO8mFY4SvIpd6_FBLkj-GnFdlx2bXH3d-XrEERQ8ybQGVuJ_drIVGYf0rnKht49ldO0VBGcfnKxmjx_iC6cDDLKQlJfVOWbz5I0fScmHLPfgzw0Zjp1LZfV27KIhXlj6TbXsHyJphxdjBA651GxP7z9hbkikfkf0e35Rytpb40-oYHHeTGGmBgw7Ae45xe9fiSXP93_HQAPufUPWXp_WmuTuHSqPUVKu0IaoSdM53KhhR64HwS1U1Wb6UIypyTcGJK14hZjc6p2qV3Q&amp;__tn__=-R" TargetMode="External"/><Relationship Id="rId948" Type="http://schemas.openxmlformats.org/officeDocument/2006/relationships/hyperlink" Target="https://www.facebook.com/groups/1382277738753927/permalink/2409234572724900/" TargetMode="External"/><Relationship Id="rId77" Type="http://schemas.openxmlformats.org/officeDocument/2006/relationships/hyperlink" Target="https://www.facebook.com/titas.mukherjee.737/posts/568594679985727?__xts__%5B0%5D=68.ARApgEqfo7Ss1mPfIYyy9A7GHdNWFvAWkneLM7MtN7eayXuZjRDbQRDrSLkJ-iK7EC9WVWjKHlGkytseZVx-7EGkrnUb_ntw36-28vEjtAXb-FVPVL1ZvH3bIofoJGYPLV_B2b-HlyS_RhhaKDqfVZkS25Wlh0A4_Ks5g39knqdqDuF_CJGmezl7avNVNcwx8fCGRzfbz02w2DZJiTD9Ip2NIaaM2LsYS7t6ysMuhS3P8TRnIFcI6Qa93jYHFkw1m-hUJmD5jaF7w5Gpigwsrgt6mibSsfS0JqjgeiJuCCamF-PBYERnbB70ZFqOelilDQ8eJHHCe7G8AE3ez7j74EewA0Tu&amp;__tn__=H-R" TargetMode="External"/><Relationship Id="rId282" Type="http://schemas.openxmlformats.org/officeDocument/2006/relationships/hyperlink" Target="https://m.facebook.com/story.php?story_fbid=1645263355616943&amp;id=725848997558388" TargetMode="External"/><Relationship Id="rId503" Type="http://schemas.openxmlformats.org/officeDocument/2006/relationships/hyperlink" Target="https://www.ndtv.com/mumbai-news/monkey-thief-in-mumbai-caught-handcuffed-and-jailed-1274255?amp=1&amp;akamai-rum=off" TargetMode="External"/><Relationship Id="rId587" Type="http://schemas.openxmlformats.org/officeDocument/2006/relationships/hyperlink" Target="https://m.timesofindia.com/city/jaipur/animal-lovers-express-outrage-college-says-dogs-had-rabies/amp_articleshow/60476841.cms" TargetMode="External"/><Relationship Id="rId710" Type="http://schemas.openxmlformats.org/officeDocument/2006/relationships/hyperlink" Target="https://www.facebook.com/groups/1382277738753927/permalink/2198459830469043/" TargetMode="External"/><Relationship Id="rId808" Type="http://schemas.openxmlformats.org/officeDocument/2006/relationships/hyperlink" Target="https://www.facebook.com/VOVHYD/posts/1341122876066475?__xts__%5B0%5D=68.ARDGKO6ArmVwElwClHtnIrV_ntN2CIEy7Wg86pBzJVdYU36QJRvZR_-HJBuUAIp7S5MWRL7fwrrJKBPChRfnp7zDkJjqnVMjMt4xgZvp_OHCxYGxvasZG_Skv-DkKXwKzFmjGqBk7FmaP68ZVtnvzdIkWCvFl1a2xWVj73gbF15j6b0KCQxmkfBwXdSWaM_23ZpYTk6E4CacTed1IW6Gyj9xeXSlqX-8Wv0OUV8dBlo44hXU48yRphbVUPzScR_Bf17gF06PXEBdoIcPKE4_xJBpJzwplxkQ6ThNvM5dP52EW-69TWiPDO3Z1Egrj4b198kHYrMLYvxlEjabRQY9GPJ7og&amp;__tn__=-R" TargetMode="External"/><Relationship Id="rId8" Type="http://schemas.openxmlformats.org/officeDocument/2006/relationships/hyperlink" Target="https://www.huffingtonpost.in/youth-ki-awaaz/stray-dogs-slaughtered-by_b_10369502.html?guccounter=1" TargetMode="External"/><Relationship Id="rId142" Type="http://schemas.openxmlformats.org/officeDocument/2006/relationships/hyperlink" Target="https://www.facebook.com/pfakollam/posts/1680290658691329" TargetMode="External"/><Relationship Id="rId447" Type="http://schemas.openxmlformats.org/officeDocument/2006/relationships/hyperlink" Target="https://www.facebook.com/permalink.php?story_fbid=1423074027877467&amp;id=100005246492097" TargetMode="External"/><Relationship Id="rId794" Type="http://schemas.openxmlformats.org/officeDocument/2006/relationships/hyperlink" Target="https://m.facebook.com/story.php?story_fbid=2963593977000953&amp;id=100000511394134" TargetMode="External"/><Relationship Id="rId654" Type="http://schemas.openxmlformats.org/officeDocument/2006/relationships/hyperlink" Target="https://www.facebook.com/groups/PALThane/permalink/1819650278084009/" TargetMode="External"/><Relationship Id="rId861" Type="http://schemas.openxmlformats.org/officeDocument/2006/relationships/hyperlink" Target="https://www.facebook.com/gunjan.uppal.5/posts/10158114869874123?__xts__%5B0%5D=68.ARCHYkeQvQ2IKnS4w0ssinW4VkMxL2dc4wBCk_mNy1pYHbuKW6riOY1vPKj-6Ye9IdiNV33unUwbLDuJNqeSE7DMUKWcbYTwQ7s9bhpUc4rgj6L4FnG8awozK5UTc7LpKytPM_y1PFLB2ngVZk14jQMsX5BhQAr52p3stW_lUiS-xYlg0ktL1-R4SD54RxQ5gkNvhEldWGbjt2n-WuzutYBS2toQ1QN-QwsVM10QW5DXZOxQeh_8ryurKvYGeXNiXRc&amp;__tn__=-R" TargetMode="External"/><Relationship Id="rId959" Type="http://schemas.openxmlformats.org/officeDocument/2006/relationships/hyperlink" Target="https://timesofindia.indiatimes.com/videos/city/mumbai/2-booked-for-dragging-dog-behind-bike-in-maharashtras-aurangabad/videoshow/76242739.cms" TargetMode="External"/><Relationship Id="rId293" Type="http://schemas.openxmlformats.org/officeDocument/2006/relationships/hyperlink" Target="https://www.facebook.com/kannananimalwelfare/photos/a.678417988930402/2391458474293003/?type=3&amp;__xts__%5B0%5D=68.ARDKGVa2mV0EymjZ9GrlG3HFodpJbfujbVSUHdggQ-lEDRHgLX2B-OZfywayvUhRpBCzyzVdTfV_9BTZ7YpR2yZOsQR_x9W2uMr_-I_-Mck0tXx8a96Hv4wL8KjFwNKi_z_sQa5TTsg4SKlbZN3ssNzcxz6pTxkdbMgyIFFUnyOIWgQE6IsSacrbVblIOgFO9eWzc-CSO414p9Cy3pHYchVb6mvQVjPyqwBvZ0h7Iq3Ri8wl1du1x_JXkcxdln2xvAj1zeMlN3xv610zQps_apcgGR-ryJTZqAGHxRH2ROazGnopJzPBNwCTP0Pa-oy8z1Unw5zKj10-WX0U2JdnN6z5sQ&amp;__tn__=-R" TargetMode="External"/><Relationship Id="rId307" Type="http://schemas.openxmlformats.org/officeDocument/2006/relationships/hyperlink" Target="https://www.facebook.com/groups/dwarkadoglovers/permalink/2568182490169351/" TargetMode="External"/><Relationship Id="rId514" Type="http://schemas.openxmlformats.org/officeDocument/2006/relationships/hyperlink" Target="https://timesofindia.indiatimes.com/city/kochi/Kerala-Man-on-the-run-in-dog-bestiality-case-held/articleshow/51836757.cms" TargetMode="External"/><Relationship Id="rId721" Type="http://schemas.openxmlformats.org/officeDocument/2006/relationships/hyperlink" Target="https://www.facebook.com/groups/goapetlife/permalink/1873263492773604/" TargetMode="External"/><Relationship Id="rId88" Type="http://schemas.openxmlformats.org/officeDocument/2006/relationships/hyperlink" Target="https://m.facebook.com/groups/683166908425471?view=permalink&amp;id=1238054459603377" TargetMode="External"/><Relationship Id="rId153" Type="http://schemas.openxmlformats.org/officeDocument/2006/relationships/hyperlink" Target="https://www.facebook.com/wvshicksitc/posts/595028560920328" TargetMode="External"/><Relationship Id="rId360" Type="http://schemas.openxmlformats.org/officeDocument/2006/relationships/hyperlink" Target="https://www.youtube.com/watch?v=M6c4SEpDgmk&amp;t=225s" TargetMode="External"/><Relationship Id="rId598" Type="http://schemas.openxmlformats.org/officeDocument/2006/relationships/hyperlink" Target="https://www.facebook.com/groups/sgacc/search/?query=acid%20attack&amp;epa=SEARCH_BOX" TargetMode="External"/><Relationship Id="rId819" Type="http://schemas.openxmlformats.org/officeDocument/2006/relationships/hyperlink" Target="https://timesofindia.indiatimes.com/city/bareilly/49-arrested-for-illegal-slaughtering-of-animals/articleshow/71728441.cms" TargetMode="External"/><Relationship Id="rId220" Type="http://schemas.openxmlformats.org/officeDocument/2006/relationships/hyperlink" Target="https://www.facebook.com/HIS.Jaipur/posts/3025267197545384?__xts__%5B0%5D=68.ARClXj3MGQDKArAV40c3IcgUhuItUbCpBT_IdSlhsFuBcW9yTxkziw6FUX7wl5SAjih60xwwbS4vaJjM8kJRxrGy7J3o2FydKRon--EqwfZf-yWK5DZeKRgW4GemxeAjc1J6yvvq2dHRXFNPc0qi-8aPC56bDJt7_TRL6Vos-ZWgspPcWEswx1NkAT5nulz0txpEk26rAmrCygEByKWGTrMLdaedEuHAnHQhKnFEbylLz-7L0mXydwg7inOstREQkAWPpm7ygeWSa5ViB1dERENrRSsi5DeYTU1xJE4B9FMa04A2M1e_y859pV_IjQhOXXgC7lp8YsdfyPYP2_DWEgzO9Q&amp;__tn__=-R" TargetMode="External"/><Relationship Id="rId458" Type="http://schemas.openxmlformats.org/officeDocument/2006/relationships/hyperlink" Target="https://www.facebook.com/benevolentaw/videos/vb.323515291513896/2585333628417531/?type=2&amp;theater" TargetMode="External"/><Relationship Id="rId665" Type="http://schemas.openxmlformats.org/officeDocument/2006/relationships/hyperlink" Target="https://www.facebook.com/groups/1382277738753927/permalink/2119208781727482/" TargetMode="External"/><Relationship Id="rId872" Type="http://schemas.openxmlformats.org/officeDocument/2006/relationships/hyperlink" Target="https://www.deccanherald.com/city/top-bengaluru-stories/monkey-deaths-in-basavanagudi-poisoning-suspected-797603.html" TargetMode="External"/><Relationship Id="rId15" Type="http://schemas.openxmlformats.org/officeDocument/2006/relationships/hyperlink" Target="https://www.deccanchronicle.com/nation/current-affairs/221117/hyderabad-ges-stray-dogs-poisoned-for-ivanka-trump-visit.html?fbclid=IwAR1NnheKL3EfqIxp8D-XSdEkbrx9hexjfJQlSwuj4dRQzQ4qjP6DNwINBGA" TargetMode="External"/><Relationship Id="rId318" Type="http://schemas.openxmlformats.org/officeDocument/2006/relationships/hyperlink" Target="https://www.facebook.com/groups/1382277738753927/permalink/2496710357310654/" TargetMode="External"/><Relationship Id="rId525" Type="http://schemas.openxmlformats.org/officeDocument/2006/relationships/hyperlink" Target="https://www.hindustantimes.com/delhi/man-runs-over-dog-says-it-deserved-to-die/story-Um1JWlp6eBwNT0vuVpmOQP.html" TargetMode="External"/><Relationship Id="rId732" Type="http://schemas.openxmlformats.org/officeDocument/2006/relationships/hyperlink" Target="https://timesofindia.indiatimes.com/city/dehradun/two-arrested-for-attempting-to-slaughter-calves/articleshow/68381828.cms" TargetMode="External"/><Relationship Id="rId99" Type="http://schemas.openxmlformats.org/officeDocument/2006/relationships/hyperlink" Target="https://m.facebook.com/groups/19045359536?view=permalink&amp;id=10154710353024537" TargetMode="External"/><Relationship Id="rId164" Type="http://schemas.openxmlformats.org/officeDocument/2006/relationships/hyperlink" Target="https://m.facebook.com/story.php?story_fbid=1664524857026940&amp;id=100004083241188" TargetMode="External"/><Relationship Id="rId371" Type="http://schemas.openxmlformats.org/officeDocument/2006/relationships/hyperlink" Target="https://www.dailymail.co.uk/indiahome/indianews/article-3829726/Tantriks-sacrifice-owls-Activists-raise-alarm-illegal-sale-owls-Indian-rollers-Diwali.html" TargetMode="External"/><Relationship Id="rId469" Type="http://schemas.openxmlformats.org/officeDocument/2006/relationships/hyperlink" Target="https://www.facebook.com/groups/thepound/permalink/3854909741186163/" TargetMode="External"/><Relationship Id="rId676" Type="http://schemas.openxmlformats.org/officeDocument/2006/relationships/hyperlink" Target="https://www.facebook.com/permalink.php?story_fbid=1118637014961315&amp;id=1088149218010095&amp;__xts__%5B0%5D=68.ARD9xtssUMYzMweLvAWZia92rH1207a-Q5bnhwHvcaCjYGMKfi5s0eCKtxZc1pF45OYWS56FZcqEWXtJuJqh9uWIVHsHs76x539O8zZAhmmWdo4DzZj1doELpuMe-lXgwY3KLEn4K0WQSFcXFHnPVIzTLMP4-CnIH6l6Okw-158FKDwDMSzWkFtCf2Akc2Es2-jT4SzlwrgHAvBK4Kw6Y408u1PS7yN_AuRP35uCKikksKDghlumHg7WnL-uRXoVrSND5CEPesC53GR8Qjot_dAQExUHtxuxYXyDXr1EBlPh_4iZmV5a3TwHNpAhvTo2ionujrfGIV0M2KYEwxNTZfjhTujB&amp;__tn__=-R" TargetMode="External"/><Relationship Id="rId883" Type="http://schemas.openxmlformats.org/officeDocument/2006/relationships/hyperlink" Target="https://www.facebook.com/groups/295402470917142/permalink/879648865825830/" TargetMode="External"/><Relationship Id="rId26" Type="http://schemas.openxmlformats.org/officeDocument/2006/relationships/hyperlink" Target="https://www.thequint.com/news/india/animal-rights-laws-awareness-dislocation-stray-dog-crime?fbclid=IwAR3MIkqSEQWtUucohDf5OrGjQMNUf4LBgla7Q86RG34fdLGs2H1KDuTjEIc" TargetMode="External"/><Relationship Id="rId231" Type="http://schemas.openxmlformats.org/officeDocument/2006/relationships/hyperlink" Target="https://www.instagram.com/p/B3Jkd3tJCtA/?utm_source=ig_web_copy_link" TargetMode="External"/><Relationship Id="rId329" Type="http://schemas.openxmlformats.org/officeDocument/2006/relationships/hyperlink" Target="https://www.thequint.com/news/india/hyderabad-pet-owners-abandon-dalmatian-dog" TargetMode="External"/><Relationship Id="rId536" Type="http://schemas.openxmlformats.org/officeDocument/2006/relationships/hyperlink" Target="https://ahmedabadmirror.indiatimes.com/ahmedabad/crime/Acid-attack-on-dog-complaint-filed/articleshow/53576116.cms" TargetMode="External"/><Relationship Id="rId175" Type="http://schemas.openxmlformats.org/officeDocument/2006/relationships/hyperlink" Target="https://www.facebook.com/PrayasINDIA/photos/a.140054619392541/2267040296693952/?type=3&amp;__xts__%5B0%5D=68.ARCoYNBdv6DZi6HOW1HNdWbDMTMp_odo8j8_35OTZ8biXyEGh8fRMMwX1S28SBA1LvmNsIaJUOOIWrh4ZOaBqL9ejd9JOPV-h8H99IfZbyQ1qpAkvHnz3wE7dkRclBepaQ1bM-LSeQMmXBCdl8p9EZxN4ETHu7i24UPzi77Xkjem2r_I9jkf9swrnSrJfeNGDOWZaV4sSRYEQWYYdBYuZXsd4jFbHawsXA5YPIdMdCreWa-7ojVgcc98tNsN5pP_v4yQBdC0yvD-GH-FWLNgEfVvB6Y2sf4rYemSmHlUVi7ZKZHZAupcMMrHgEg408F3vPNHuYl_xIg2Xpik1VF6fdu3iw&amp;__tn__=-R" TargetMode="External"/><Relationship Id="rId743" Type="http://schemas.openxmlformats.org/officeDocument/2006/relationships/hyperlink" Target="https://m.facebook.com/story.php?story_fbid=1053511104849376&amp;id=100005714887443" TargetMode="External"/><Relationship Id="rId950" Type="http://schemas.openxmlformats.org/officeDocument/2006/relationships/hyperlink" Target="https://drive.google.com/drive/folders/1pkUmCuTtwplMcXUGuoaxTnK0XxpssxQP" TargetMode="External"/><Relationship Id="rId382" Type="http://schemas.openxmlformats.org/officeDocument/2006/relationships/hyperlink" Target="http://bangaloremirror.indiatimes.com/news/state/karnataka-yet-again-peta-finds-fault-with-kambala/articleshow/61920376.cms" TargetMode="External"/><Relationship Id="rId603" Type="http://schemas.openxmlformats.org/officeDocument/2006/relationships/hyperlink" Target="https://timesofindia.indiatimes.com/city/chandigarh/punjab-2-men-shoot-dog-to-death-booked/articleshow/61983720.cms" TargetMode="External"/><Relationship Id="rId687" Type="http://schemas.openxmlformats.org/officeDocument/2006/relationships/hyperlink" Target="https://m.facebook.com/story.php?story_fbid=10157138496761807&amp;id=593321806" TargetMode="External"/><Relationship Id="rId810" Type="http://schemas.openxmlformats.org/officeDocument/2006/relationships/hyperlink" Target="https://www.indiatoday.in/india/story/man-eater-leopard-shot-dead-in-uttarakhand-1606491-2019-10-05" TargetMode="External"/><Relationship Id="rId908" Type="http://schemas.openxmlformats.org/officeDocument/2006/relationships/hyperlink" Target="https://www.facebook.com/groups/1382277738753927/permalink/2527383287576694/" TargetMode="External"/><Relationship Id="rId242" Type="http://schemas.openxmlformats.org/officeDocument/2006/relationships/hyperlink" Target="https://www.facebook.com/groups/indiaanimalforum/permalink/2523540644394832/" TargetMode="External"/><Relationship Id="rId894" Type="http://schemas.openxmlformats.org/officeDocument/2006/relationships/hyperlink" Target="https://www.facebook.com/groups/355493465008889/permalink/615415489016684/?__xts__%5B0%5D=68.ARD5rjLHhQ5fWhc3R7__I_HW_xueJGl2cFHLHgYQ5F64BRL3wYiSPZXfIZW6e2910eNQn-ishTycOYlvxwtS7d9LRyVGgwrWI5tm3K7mGTpqF0SiNbXJrczJ1ka__FoEsoUiiDh7-ZQu2siD7sRT-rwHHy_I1jDYrxlEVDtRK3Bq4PP4cgWyUQMmMRs&amp;__tn__=H-R" TargetMode="External"/><Relationship Id="rId37" Type="http://schemas.openxmlformats.org/officeDocument/2006/relationships/hyperlink" Target="https://twitter.com/nkaggere/status/1237257609389821954" TargetMode="External"/><Relationship Id="rId102" Type="http://schemas.openxmlformats.org/officeDocument/2006/relationships/hyperlink" Target="https://www.facebook.com/PAWSDumDum/videos/1741226482841346/?vh=e" TargetMode="External"/><Relationship Id="rId547" Type="http://schemas.openxmlformats.org/officeDocument/2006/relationships/hyperlink" Target="https://timesofindia.indiatimes.com/city/pune/man-throws-boiling-water-on-stray-booked/articleshow/55269757.cms" TargetMode="External"/><Relationship Id="rId754" Type="http://schemas.openxmlformats.org/officeDocument/2006/relationships/hyperlink" Target="https://m.facebook.com/story.php?story_fbid=1073286562871830&amp;id=100005714887443" TargetMode="External"/><Relationship Id="rId961" Type="http://schemas.openxmlformats.org/officeDocument/2006/relationships/hyperlink" Target="https://www.facebook.com/groups/1382277738753927/permalink/2538601373121552/" TargetMode="External"/><Relationship Id="rId90" Type="http://schemas.openxmlformats.org/officeDocument/2006/relationships/hyperlink" Target="https://www.facebook.com/photo.php?fbid=10157267734865339&amp;set=a.108790470338&amp;type=3&amp;theater" TargetMode="External"/><Relationship Id="rId186" Type="http://schemas.openxmlformats.org/officeDocument/2006/relationships/hyperlink" Target="https://www.facebook.com/332058007498381/posts/346799119357603/?vh=e" TargetMode="External"/><Relationship Id="rId393" Type="http://schemas.openxmlformats.org/officeDocument/2006/relationships/hyperlink" Target="https://timesofindia.indiatimes.com/city/hyderabad/how-a-mindless-dasara-ritual-is-killing-our-state-bird-palapitta/articleshow/60872593.cms" TargetMode="External"/><Relationship Id="rId407" Type="http://schemas.openxmlformats.org/officeDocument/2006/relationships/hyperlink" Target="https://m.facebook.com/story.php?story_fbid=1959757177429730&amp;id=336779206394210" TargetMode="External"/><Relationship Id="rId614" Type="http://schemas.openxmlformats.org/officeDocument/2006/relationships/hyperlink" Target="https://www.facebook.com/groups/PALThane/permalink/1590513947664311/" TargetMode="External"/><Relationship Id="rId821" Type="http://schemas.openxmlformats.org/officeDocument/2006/relationships/hyperlink" Target="https://www.indiatimes.com/news/india/stray-dog-trapped-in-net-beaten-up-for-entering-an-upscale-residential-society-in-noida-378792.html" TargetMode="External"/><Relationship Id="rId253" Type="http://schemas.openxmlformats.org/officeDocument/2006/relationships/hyperlink" Target="https://www.facebook.com/groups/indiaanimalforum/permalink/2577673075648255/" TargetMode="External"/><Relationship Id="rId460" Type="http://schemas.openxmlformats.org/officeDocument/2006/relationships/hyperlink" Target="https://www.youtube.com/watch?v=IeuwA9vEdeg" TargetMode="External"/><Relationship Id="rId698" Type="http://schemas.openxmlformats.org/officeDocument/2006/relationships/hyperlink" Target="https://www.facebook.com/groups/goapetlife/permalink/1606129939486962/" TargetMode="External"/><Relationship Id="rId919" Type="http://schemas.openxmlformats.org/officeDocument/2006/relationships/hyperlink" Target="https://www.facebook.com/773570202814329/posts/1503180743186601/?vh=e&amp;d=n" TargetMode="External"/><Relationship Id="rId48" Type="http://schemas.openxmlformats.org/officeDocument/2006/relationships/hyperlink" Target="https://www.facebook.com/332058007498381/posts/429137624457085/?vh=e" TargetMode="External"/><Relationship Id="rId113" Type="http://schemas.openxmlformats.org/officeDocument/2006/relationships/hyperlink" Target="https://www.facebook.com/PeoplesAnimalWelfareSociety/posts/563792797065184" TargetMode="External"/><Relationship Id="rId320" Type="http://schemas.openxmlformats.org/officeDocument/2006/relationships/hyperlink" Target="https://www.facebook.com/DogAdoptionDelhi/posts/1638639366289856?__xts__%5B0%5D=68.ARA-aP7QUoyLi_WjHsuWvh8EPi9ejUwZNlFVqPAPX_hJXwPfg72keL1LO2Mn0LAwm1u22DHIAjBwgMGpodmk28cuU7QaYtdFgOOvRxbqLsxg9IQDFjOD4S7N-zzrDJxUjjFy8J4PNEvQSPvLJC18I20Gt2nvzjUVvXiE6rXIB0QncW6upnrQ7fNVkaOhuxgIn6ymHE51QIiy-pPis-dnW62B9je7_rj8Yf2naEPsQj40dy2XxaOf6tkeGpp9Ojyvef9H4xAcw8Vp0bWDXHEzWr0uEtUHHRWCe8PJYjIDkfAJ1aiEGzzmvw04fqKmM2AvmCLGZ4MCMimB3clsaErvjOhFeQ&amp;__tn__=-R" TargetMode="External"/><Relationship Id="rId558" Type="http://schemas.openxmlformats.org/officeDocument/2006/relationships/hyperlink" Target="https://www.facebook.com/groups/PALThane/permalink/1174581769257533/" TargetMode="External"/><Relationship Id="rId765" Type="http://schemas.openxmlformats.org/officeDocument/2006/relationships/hyperlink" Target="https://m.facebook.com/story.php?story_fbid=1104440079756478&amp;id=100005714887443" TargetMode="External"/><Relationship Id="rId972" Type="http://schemas.openxmlformats.org/officeDocument/2006/relationships/hyperlink" Target="https://mumbaimirror.indiatimes.com/news/india/animal-cruelty-horrific-case-shocking-monkey-hanged-to-death-in-hyderabad/articleshow/76677911.cms" TargetMode="External"/><Relationship Id="rId197" Type="http://schemas.openxmlformats.org/officeDocument/2006/relationships/hyperlink" Target="https://www.instagram.com/p/B2jBmkLl7Bw/" TargetMode="External"/><Relationship Id="rId418" Type="http://schemas.openxmlformats.org/officeDocument/2006/relationships/hyperlink" Target="https://www.indiatoday.in/india/story/married-man-kills-owl-to-perform-black-magic-for-attracting-woman-in-delhi-1387286-2018-11-13" TargetMode="External"/><Relationship Id="rId625" Type="http://schemas.openxmlformats.org/officeDocument/2006/relationships/hyperlink" Target="https://www.facebook.com/651546661648899/posts/1098265136977047/?d=n" TargetMode="External"/><Relationship Id="rId832" Type="http://schemas.openxmlformats.org/officeDocument/2006/relationships/hyperlink" Target="https://www.facebook.com/HIS.Jaipur/posts/3221233404615428?__xts__%5B0%5D=68.ARBxFjL9HuQ80Otlhnr5ZULua8WGnvIxvkD7NjJotErvtFRxDRUI11zMO_CBynWEDrB-LAwhHoJdgZQ3SUnXomHf_lngH5RG7w7P6mRF9P0nZnvWDmO4CN5KPq0Sazun0B59DzQZ853dXMH3oUE1OFfB3l59i80aNF1mXAAQI8-30QNE6-tfsu8GQhpIwS0IfBPAeY1nTqEEFH_c-FiIAUVx_I3fRfwyRzZsAtQszOVNXP3ps5xfR7bJJzHQwi50F_c5ioKFHlPFFSB3bwMmLbad9o9uMOXXFIuWs0cwecnT_rm1bXJR6_j9OydfxmtV1Th3P_u2p98oGZPWSdDCW7gIeg&amp;__tn__=-R" TargetMode="External"/><Relationship Id="rId264" Type="http://schemas.openxmlformats.org/officeDocument/2006/relationships/hyperlink" Target="https://www.facebook.com/kaveriranabhardwaj/posts/1045981589076584?__xts__%5B0%5D=68.ARC_2txtCkwr_GNnLTkawSmovJl7PVhRW0wx3A9QWtViZKIvywnIusRmvk0Ni5TIOBA4h30PqX695amP9sSgSSHwVFoFKVcUKgtod2m6uMamTij-zh8NGWu-uET7gV0Kc1WNgVQXcilUgtfXzI-NTTCyDv7HIF_DXBpYziAnkHkOc3STjApcW-7UFH8H_rcVvCN4TBdioEfWOL8of9qB_Y9-dpyoa9DEoaDaEhDpzD-RGoCSb93WJWdfNqdNDT9PeM7EjUebfH0b8R6GcI5nBkm1sbjJrUESC2Rw&amp;__tn__=-R" TargetMode="External"/><Relationship Id="rId471" Type="http://schemas.openxmlformats.org/officeDocument/2006/relationships/hyperlink" Target="https://drive.google.com/file/d/1wFb_pwNl3jMqk6M1-65Rqt4-ojgWx365/view?usp=sharing" TargetMode="External"/><Relationship Id="rId59" Type="http://schemas.openxmlformats.org/officeDocument/2006/relationships/hyperlink" Target="http://../Library/Application%20Support/articles.timesofindia.indiatimes.com/2008-08-21/mumbai/27894901_1_sparrows-birds-animal-activist" TargetMode="External"/><Relationship Id="rId124" Type="http://schemas.openxmlformats.org/officeDocument/2006/relationships/hyperlink" Target="https://m.facebook.com/story.php?story_fbid=1638486256220091&amp;id=1452476261487759" TargetMode="External"/><Relationship Id="rId569" Type="http://schemas.openxmlformats.org/officeDocument/2006/relationships/hyperlink" Target="https://www.ndtv.com/video/news/news/cruelty-to-animals-3-men-transporting-buffaloes-beaten-in-delhi-455332" TargetMode="External"/><Relationship Id="rId776" Type="http://schemas.openxmlformats.org/officeDocument/2006/relationships/hyperlink" Target="https://www.indiatoday.in/crime/story/haridwar-man-poisons-3-leopards-in-revenge-for-killing-his-dog-1579093-2019-08-09" TargetMode="External"/><Relationship Id="rId331" Type="http://schemas.openxmlformats.org/officeDocument/2006/relationships/hyperlink" Target="http://www.pfabihar.org.in/Rescue.htm" TargetMode="External"/><Relationship Id="rId429" Type="http://schemas.openxmlformats.org/officeDocument/2006/relationships/hyperlink" Target="https://www.cityspidey.com/news/7872/tied-with-rope-in-raj-nagar-extn-society-forest-officials-rescue-a-langur" TargetMode="External"/><Relationship Id="rId636" Type="http://schemas.openxmlformats.org/officeDocument/2006/relationships/hyperlink" Target="https://www.facebook.com/groups/sgacc/search/?query=acid%20attack&amp;epa=SEARCH_BOX" TargetMode="External"/><Relationship Id="rId843" Type="http://schemas.openxmlformats.org/officeDocument/2006/relationships/hyperlink" Target="https://www.facebook.com/groups/683166908425471/permalink/3339199589488843/" TargetMode="External"/><Relationship Id="rId275" Type="http://schemas.openxmlformats.org/officeDocument/2006/relationships/hyperlink" Target="https://www.facebook.com/Sparkthechange777/videos/572641253300936/?__xts__%5B0%5D=68.ARAfXsQ02laM6rx0zMQpWBwFeqeTbJDz39gGV_69zY9QhDvcWEktuclamdTBc9V26zh8L2IW60Hcm8wvN_p_WbJ4_msZrURtsnZ20gegIHGUNilV_rxp3iK-uRC8C_iFas_ql6VxU8fCKAu3aMx7FK4eP63ddmli2RDctUEZ6M2T3M0j5YUlRXFS8kMuoJNBm1YTrEOm51-57-P_z_lG0Z0cSXxbKpOjAUH1JuIz6wi35MKVxfMYVHgyfLX2txuBazdOOAThF8lgidFpl3_mARYEVnhUoF2glokM6JgzDZdLZJln08ij57HDfuuKtc9kYhTdK-aRqZi-32leGKEBdr96hQ&amp;__tn__=-R" TargetMode="External"/><Relationship Id="rId482" Type="http://schemas.openxmlformats.org/officeDocument/2006/relationships/hyperlink" Target="https://www.facebook.com/511683712/posts/10158191389563713?sfns=mo" TargetMode="External"/><Relationship Id="rId703" Type="http://schemas.openxmlformats.org/officeDocument/2006/relationships/hyperlink" Target="https://m.facebook.com/story.php?story_fbid=791975007810578&amp;id=100009942577579" TargetMode="External"/><Relationship Id="rId910" Type="http://schemas.openxmlformats.org/officeDocument/2006/relationships/hyperlink" Target="https://www.facebook.com/groups/1382277738753927/permalink/2526283481020008/" TargetMode="External"/><Relationship Id="rId135" Type="http://schemas.openxmlformats.org/officeDocument/2006/relationships/hyperlink" Target="https://www.facebook.com/sfabbsr/videos/805152593011297/?__xts__%5B0%5D=68.ARD3UwgN86zYFf9xgr3OMXxhaC6ANWDNEVqJFuV5d2M5OInrmUcRjZSxESMEvt3yDxvZRRjrGgluPOxyolz_nz4BrnJNU0HbzfTY0F29tfhk72jU33ks7VyZVwJguJgygpMdFfjT1sPJQLktHTpAF8z-mfi_zHoqXQjDYPoWRWbKJU8zuzHngr83aqjK1_GUo4Y9ePjn__Cdd0DPI2dAd5zIvG4nkChHEx5oaGbmnpRraTxL7nBXajCbQOT5lsNUemZqIBwxC5deA982SIfHgASl-VKAE3Zd6ZrZYshcAKZ_iX3FBMsTLJrFFl5A7BMNq_AXh828wCSpv64&amp;__tn__=-R" TargetMode="External"/><Relationship Id="rId342" Type="http://schemas.openxmlformats.org/officeDocument/2006/relationships/hyperlink" Target="https://www.ndtv.com/cities/coming-soon-indias-first-sea-world-in-maharashtra-for-rs-509-crore-565799" TargetMode="External"/><Relationship Id="rId787" Type="http://schemas.openxmlformats.org/officeDocument/2006/relationships/hyperlink" Target="https://www.facebook.com/p4adurgbhilai/posts/888204564970932?__xts__%5B0%5D=68.ARCRQibwCnmYa7oEdq_-rNQFAyKV7Nx1qBHiayAYqb2lSR1gwuYigTVsiSrqYuWM7UTlpWk7l42_3CGMpRofoiyWqwNGmqz7QUT6mVKt9z-XhWJn8xxnTF0ETGGxAU2G3OWzIyxhnpmKffbzCBFu1fY9ZWIh2hInT_id9iDshvRBnVXisZochaOHSO50k-u8VMtuGLCRyom50Gf6dd39DJNNfLilx7KghXBJdLv6Q3usbOXDH5giOCZ9eLfE-og9wsEzLYUo3OCSTFaCdTsAAD_l_tlP6H4M6HI8ONRdKRhZBM_3Sqww5z_AA6AvwGMPqhRAAZbR7448YtvwJKZYxQw&amp;__tn__=-R" TargetMode="External"/><Relationship Id="rId202" Type="http://schemas.openxmlformats.org/officeDocument/2006/relationships/hyperlink" Target="https://www.facebook.com/groups/goapetlife/permalink/2009982195768399/" TargetMode="External"/><Relationship Id="rId647" Type="http://schemas.openxmlformats.org/officeDocument/2006/relationships/hyperlink" Target="https://timesofindia.indiatimes.com/city/agra/4-arrested-for-pouring-hot-tar-on-dog/articleshow/64595819.cms" TargetMode="External"/><Relationship Id="rId854" Type="http://schemas.openxmlformats.org/officeDocument/2006/relationships/hyperlink" Target="https://www.facebook.com/groups/indiaanimalforum/permalink/2672893512792877/" TargetMode="External"/><Relationship Id="rId286" Type="http://schemas.openxmlformats.org/officeDocument/2006/relationships/hyperlink" Target="https://aajtak.intoday.in/story/greater-noida-husky-shih-tzu-puppies-without-license-police-arrested-1-1154834.html?fbclid=IwAR0ihbBD5F3kwpVGSWt6_dfc6WyrJ8VN2LR4BuBTI0pR5vka-KY4Aw3CGLM" TargetMode="External"/><Relationship Id="rId493" Type="http://schemas.openxmlformats.org/officeDocument/2006/relationships/hyperlink" Target="https://www.youtube.com/watch?v=5TWefdOSjjw&amp;noapp=1&amp;client=mv-google&amp;app=desktop" TargetMode="External"/><Relationship Id="rId507" Type="http://schemas.openxmlformats.org/officeDocument/2006/relationships/hyperlink" Target="https://www.facebook.com/1490798644550799/posts/1540924562871540/?d=n" TargetMode="External"/><Relationship Id="rId714" Type="http://schemas.openxmlformats.org/officeDocument/2006/relationships/hyperlink" Target="https://mumbaimirror.indiatimes.com/mumbai/crime/police-registers-case-over-murder-of-cat/articleshow/67546609.cms" TargetMode="External"/><Relationship Id="rId921" Type="http://schemas.openxmlformats.org/officeDocument/2006/relationships/hyperlink" Target="https://www.facebook.com/1801668150060567/posts/2835688326658539/?vh=e&amp;d=n" TargetMode="External"/><Relationship Id="rId50" Type="http://schemas.openxmlformats.org/officeDocument/2006/relationships/hyperlink" Target="https://timesofindia.indiatimes.com/city/ahmedabad/dogs-nilgais-to-disappear-from-trump-route/articleshow/74166213.cms" TargetMode="External"/><Relationship Id="rId146" Type="http://schemas.openxmlformats.org/officeDocument/2006/relationships/hyperlink" Target="https://www.facebook.com/HIS.Jaipur/photos/a.336812909724173/2320897457982365/?type=3&amp;__xts__%5B0%5D=68.ARCFhTz3bKJALmTk5EYDzL9EH6aBFhuTvIZX39ONOl4k8j8kRsnMPwZwbcYwG6AoFTs53pvXy4tsQMXH7YGh0kPLY2l29oa0Ru_j0wVzPJG2OjUBtUWlu6v7r66vv8HsJkWktR7z3eiY2v-jannShAZ6ggLMIj5HiKb3KN6ldZaEm0hGoLau5-GtPMUcdF7yQfgcuZJ8u0h3CYIUmilqdx6PgfVlwe4ED4WxVChe4FMtYcqYfwPRh0ci1E5TvjLK6fxU2p9V6cSH7W-B1aXvzcuCSqw6Jgp8UjKrrZcX-Tlip9bVzjnVWvh3zZ-mrzLD7jueTGmkMAngbzRARKsj8LVGtg&amp;__tn__=-R" TargetMode="External"/><Relationship Id="rId353" Type="http://schemas.openxmlformats.org/officeDocument/2006/relationships/hyperlink" Target="https://www.facebook.com/wag.india/posts/720607108122347:0" TargetMode="External"/><Relationship Id="rId560" Type="http://schemas.openxmlformats.org/officeDocument/2006/relationships/hyperlink" Target="https://www.washingtonpost.com/news/animalia/wp/2017/11/08/the-horror-elephants-face-in-india-in-one-heartbreaking-photo/" TargetMode="External"/><Relationship Id="rId798" Type="http://schemas.openxmlformats.org/officeDocument/2006/relationships/hyperlink" Target="https://www.facebook.com/p4adurgbhilai/posts/782379462220110?__tn__=-R" TargetMode="External"/><Relationship Id="rId213" Type="http://schemas.openxmlformats.org/officeDocument/2006/relationships/hyperlink" Target="https://m.facebook.com/story.php?story_fbid=2738827912812886&amp;id=100000571126335" TargetMode="External"/><Relationship Id="rId420" Type="http://schemas.openxmlformats.org/officeDocument/2006/relationships/hyperlink" Target="https://www.facebook.com/groups/1172242142821316/permalink/2114342745277913/" TargetMode="External"/><Relationship Id="rId658" Type="http://schemas.openxmlformats.org/officeDocument/2006/relationships/hyperlink" Target="https://www.timesnownews.com/mirror-now/crime/article/delhi-senior-citizen-beats-dog-mercilessly-with-a-stick-arrested/259036" TargetMode="External"/><Relationship Id="rId865" Type="http://schemas.openxmlformats.org/officeDocument/2006/relationships/hyperlink" Target="https://www.facebook.com/groups/1172242142821316/permalink/280153026989248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7166B-1EB5-5546-A3C7-14F40B5B82B1}">
  <sheetPr filterMode="1"/>
  <dimension ref="A1:K2395"/>
  <sheetViews>
    <sheetView tabSelected="1" workbookViewId="0">
      <selection activeCell="B2380" sqref="B2380"/>
    </sheetView>
  </sheetViews>
  <sheetFormatPr baseColWidth="10" defaultColWidth="13.1640625" defaultRowHeight="15" customHeight="1" x14ac:dyDescent="0.2"/>
  <cols>
    <col min="1" max="1" width="13.1640625" style="1"/>
    <col min="2" max="2" width="22.6640625" style="1" customWidth="1"/>
    <col min="3" max="3" width="23.83203125" style="1" customWidth="1"/>
    <col min="4" max="4" width="19.5" style="1" customWidth="1"/>
    <col min="5" max="5" width="25.33203125" style="1" customWidth="1"/>
    <col min="6" max="6" width="93.6640625" style="2" customWidth="1"/>
    <col min="7" max="8" width="25" style="1" customWidth="1"/>
    <col min="9" max="9" width="23" style="1" customWidth="1"/>
    <col min="10" max="10" width="39" style="1" customWidth="1"/>
    <col min="11" max="11" width="20.1640625" style="1" customWidth="1"/>
    <col min="12" max="16384" width="13.1640625" style="1"/>
  </cols>
  <sheetData>
    <row r="1" spans="1:11" ht="17" x14ac:dyDescent="0.2">
      <c r="A1" s="1" t="s">
        <v>3244</v>
      </c>
      <c r="B1" s="24" t="s">
        <v>3243</v>
      </c>
      <c r="C1" s="24" t="s">
        <v>3242</v>
      </c>
      <c r="D1" s="24" t="s">
        <v>3241</v>
      </c>
      <c r="E1" s="24" t="s">
        <v>3240</v>
      </c>
      <c r="F1" s="4" t="s">
        <v>3239</v>
      </c>
      <c r="G1" s="24" t="s">
        <v>3238</v>
      </c>
      <c r="H1" s="24" t="s">
        <v>3237</v>
      </c>
      <c r="I1" s="24" t="s">
        <v>3236</v>
      </c>
      <c r="J1" s="24" t="s">
        <v>3235</v>
      </c>
      <c r="K1" s="24" t="s">
        <v>3234</v>
      </c>
    </row>
    <row r="2" spans="1:11" ht="51" hidden="1" x14ac:dyDescent="0.2">
      <c r="B2" s="4" t="s">
        <v>3073</v>
      </c>
      <c r="C2" s="4" t="s">
        <v>3233</v>
      </c>
      <c r="D2" s="4" t="s">
        <v>221</v>
      </c>
      <c r="E2" s="4" t="s">
        <v>5</v>
      </c>
      <c r="F2" s="4" t="s">
        <v>3232</v>
      </c>
      <c r="G2" s="6" t="s">
        <v>3231</v>
      </c>
      <c r="H2" s="6" t="s">
        <v>3</v>
      </c>
      <c r="I2" s="5" t="s">
        <v>3088</v>
      </c>
      <c r="J2" s="5" t="s">
        <v>3071</v>
      </c>
      <c r="K2" s="5" t="s">
        <v>0</v>
      </c>
    </row>
    <row r="3" spans="1:11" ht="34" hidden="1" x14ac:dyDescent="0.2">
      <c r="B3" s="4" t="s">
        <v>3073</v>
      </c>
      <c r="C3" s="4" t="s">
        <v>527</v>
      </c>
      <c r="D3" s="4" t="s">
        <v>18</v>
      </c>
      <c r="E3" s="4" t="s">
        <v>5</v>
      </c>
      <c r="F3" s="4" t="s">
        <v>3230</v>
      </c>
      <c r="G3" s="20" t="s">
        <v>348</v>
      </c>
      <c r="H3" s="6" t="s">
        <v>11</v>
      </c>
      <c r="I3" s="5" t="s">
        <v>10</v>
      </c>
      <c r="J3" s="5" t="s">
        <v>2719</v>
      </c>
      <c r="K3" s="5" t="s">
        <v>0</v>
      </c>
    </row>
    <row r="4" spans="1:11" ht="68" hidden="1" x14ac:dyDescent="0.2">
      <c r="B4" s="4" t="s">
        <v>3073</v>
      </c>
      <c r="C4" s="4" t="s">
        <v>3229</v>
      </c>
      <c r="D4" s="4" t="s">
        <v>77</v>
      </c>
      <c r="E4" s="4" t="s">
        <v>23</v>
      </c>
      <c r="F4" s="4" t="s">
        <v>3228</v>
      </c>
      <c r="G4" s="23" t="s">
        <v>3</v>
      </c>
      <c r="H4" s="6" t="s">
        <v>3</v>
      </c>
      <c r="I4" s="5"/>
      <c r="J4" s="5" t="s">
        <v>3071</v>
      </c>
      <c r="K4" s="5" t="s">
        <v>0</v>
      </c>
    </row>
    <row r="5" spans="1:11" ht="51" hidden="1" x14ac:dyDescent="0.2">
      <c r="B5" s="4" t="s">
        <v>3073</v>
      </c>
      <c r="C5" s="4" t="s">
        <v>318</v>
      </c>
      <c r="D5" s="4" t="s">
        <v>317</v>
      </c>
      <c r="E5" s="4" t="s">
        <v>3227</v>
      </c>
      <c r="F5" s="4" t="s">
        <v>3226</v>
      </c>
      <c r="G5" s="23" t="s">
        <v>3</v>
      </c>
      <c r="H5" s="6" t="s">
        <v>3</v>
      </c>
      <c r="I5" s="5" t="s">
        <v>3088</v>
      </c>
      <c r="J5" s="5" t="s">
        <v>3071</v>
      </c>
      <c r="K5" s="5" t="s">
        <v>0</v>
      </c>
    </row>
    <row r="6" spans="1:11" ht="34" hidden="1" x14ac:dyDescent="0.2">
      <c r="B6" s="4" t="s">
        <v>3073</v>
      </c>
      <c r="C6" s="4" t="s">
        <v>53</v>
      </c>
      <c r="D6" s="4" t="s">
        <v>210</v>
      </c>
      <c r="E6" s="4" t="s">
        <v>5</v>
      </c>
      <c r="F6" s="4" t="s">
        <v>3225</v>
      </c>
      <c r="G6" s="23" t="s">
        <v>3224</v>
      </c>
      <c r="H6" s="6" t="s">
        <v>3</v>
      </c>
      <c r="I6" s="5" t="s">
        <v>3088</v>
      </c>
      <c r="J6" s="5" t="s">
        <v>2719</v>
      </c>
      <c r="K6" s="5" t="s">
        <v>0</v>
      </c>
    </row>
    <row r="7" spans="1:11" ht="34" hidden="1" x14ac:dyDescent="0.2">
      <c r="B7" s="4" t="s">
        <v>3073</v>
      </c>
      <c r="C7" s="4" t="s">
        <v>3223</v>
      </c>
      <c r="D7" s="4" t="s">
        <v>77</v>
      </c>
      <c r="E7" s="4" t="s">
        <v>27</v>
      </c>
      <c r="F7" s="4" t="s">
        <v>3222</v>
      </c>
      <c r="G7" s="20" t="s">
        <v>11</v>
      </c>
      <c r="H7" s="6" t="s">
        <v>11</v>
      </c>
      <c r="I7" s="5" t="s">
        <v>3088</v>
      </c>
      <c r="J7" s="5" t="s">
        <v>3071</v>
      </c>
      <c r="K7" s="5" t="s">
        <v>0</v>
      </c>
    </row>
    <row r="8" spans="1:11" ht="34" hidden="1" x14ac:dyDescent="0.2">
      <c r="B8" s="4" t="s">
        <v>3073</v>
      </c>
      <c r="C8" s="4" t="s">
        <v>299</v>
      </c>
      <c r="D8" s="4" t="s">
        <v>28</v>
      </c>
      <c r="E8" s="4" t="s">
        <v>5</v>
      </c>
      <c r="F8" s="4" t="s">
        <v>3221</v>
      </c>
      <c r="G8" s="23" t="s">
        <v>3</v>
      </c>
      <c r="H8" s="6" t="s">
        <v>3</v>
      </c>
      <c r="I8" s="5" t="s">
        <v>10</v>
      </c>
      <c r="J8" s="5" t="s">
        <v>3071</v>
      </c>
      <c r="K8" s="5" t="s">
        <v>0</v>
      </c>
    </row>
    <row r="9" spans="1:11" ht="34" hidden="1" x14ac:dyDescent="0.2">
      <c r="B9" s="4" t="s">
        <v>3073</v>
      </c>
      <c r="C9" s="4" t="s">
        <v>3220</v>
      </c>
      <c r="D9" s="4" t="s">
        <v>77</v>
      </c>
      <c r="E9" s="4" t="s">
        <v>81</v>
      </c>
      <c r="F9" s="4" t="s">
        <v>3219</v>
      </c>
      <c r="G9" s="14" t="s">
        <v>3</v>
      </c>
      <c r="H9" s="6" t="s">
        <v>3</v>
      </c>
      <c r="I9" s="5" t="s">
        <v>3088</v>
      </c>
      <c r="J9" s="5" t="s">
        <v>3071</v>
      </c>
      <c r="K9" s="5" t="s">
        <v>0</v>
      </c>
    </row>
    <row r="10" spans="1:11" ht="34" hidden="1" x14ac:dyDescent="0.2">
      <c r="B10" s="4" t="s">
        <v>3073</v>
      </c>
      <c r="C10" s="4" t="s">
        <v>1001</v>
      </c>
      <c r="D10" s="4" t="s">
        <v>77</v>
      </c>
      <c r="E10" s="4" t="s">
        <v>5</v>
      </c>
      <c r="F10" s="4" t="s">
        <v>3218</v>
      </c>
      <c r="G10" s="14" t="s">
        <v>348</v>
      </c>
      <c r="H10" s="6" t="s">
        <v>11</v>
      </c>
      <c r="I10" s="5" t="s">
        <v>3088</v>
      </c>
      <c r="J10" s="5" t="s">
        <v>2719</v>
      </c>
      <c r="K10" s="5" t="s">
        <v>0</v>
      </c>
    </row>
    <row r="11" spans="1:11" ht="34" hidden="1" x14ac:dyDescent="0.2">
      <c r="B11" s="4" t="s">
        <v>3073</v>
      </c>
      <c r="C11" s="18" t="s">
        <v>130</v>
      </c>
      <c r="D11" s="18" t="s">
        <v>77</v>
      </c>
      <c r="E11" s="18" t="s">
        <v>27</v>
      </c>
      <c r="F11" s="6" t="s">
        <v>3217</v>
      </c>
      <c r="G11" s="20" t="s">
        <v>11</v>
      </c>
      <c r="H11" s="6" t="s">
        <v>11</v>
      </c>
      <c r="I11" s="5" t="s">
        <v>3088</v>
      </c>
      <c r="J11" s="5" t="s">
        <v>3071</v>
      </c>
      <c r="K11" s="5" t="s">
        <v>0</v>
      </c>
    </row>
    <row r="12" spans="1:11" ht="34" hidden="1" x14ac:dyDescent="0.2">
      <c r="B12" s="4" t="s">
        <v>3073</v>
      </c>
      <c r="C12" s="4" t="s">
        <v>150</v>
      </c>
      <c r="D12" s="4" t="s">
        <v>150</v>
      </c>
      <c r="E12" s="4" t="s">
        <v>55</v>
      </c>
      <c r="F12" s="4" t="s">
        <v>3216</v>
      </c>
      <c r="G12" s="23" t="s">
        <v>3</v>
      </c>
      <c r="H12" s="6" t="s">
        <v>3</v>
      </c>
      <c r="I12" s="5" t="s">
        <v>3088</v>
      </c>
      <c r="J12" s="5" t="s">
        <v>2719</v>
      </c>
      <c r="K12" s="5" t="s">
        <v>0</v>
      </c>
    </row>
    <row r="13" spans="1:11" ht="34" hidden="1" x14ac:dyDescent="0.2">
      <c r="B13" s="4" t="s">
        <v>3073</v>
      </c>
      <c r="C13" s="4" t="s">
        <v>3202</v>
      </c>
      <c r="D13" s="4" t="s">
        <v>77</v>
      </c>
      <c r="E13" s="4" t="s">
        <v>27</v>
      </c>
      <c r="F13" s="4" t="s">
        <v>3215</v>
      </c>
      <c r="G13" s="20" t="s">
        <v>3</v>
      </c>
      <c r="H13" s="6" t="s">
        <v>3</v>
      </c>
      <c r="I13" s="5" t="s">
        <v>3088</v>
      </c>
      <c r="J13" s="5" t="s">
        <v>3071</v>
      </c>
      <c r="K13" s="5" t="s">
        <v>0</v>
      </c>
    </row>
    <row r="14" spans="1:11" ht="68" hidden="1" x14ac:dyDescent="0.2">
      <c r="B14" s="4" t="s">
        <v>3073</v>
      </c>
      <c r="C14" s="4" t="s">
        <v>130</v>
      </c>
      <c r="D14" s="4" t="s">
        <v>77</v>
      </c>
      <c r="E14" s="4" t="s">
        <v>27</v>
      </c>
      <c r="F14" s="4" t="s">
        <v>3214</v>
      </c>
      <c r="G14" s="20" t="s">
        <v>348</v>
      </c>
      <c r="H14" s="6" t="s">
        <v>11</v>
      </c>
      <c r="I14" s="5" t="s">
        <v>3088</v>
      </c>
      <c r="J14" s="5" t="s">
        <v>3071</v>
      </c>
      <c r="K14" s="5" t="s">
        <v>0</v>
      </c>
    </row>
    <row r="15" spans="1:11" ht="51" hidden="1" x14ac:dyDescent="0.2">
      <c r="B15" s="4" t="s">
        <v>3073</v>
      </c>
      <c r="C15" s="4" t="s">
        <v>3213</v>
      </c>
      <c r="D15" s="4" t="s">
        <v>66</v>
      </c>
      <c r="E15" s="4" t="s">
        <v>55</v>
      </c>
      <c r="F15" s="4" t="s">
        <v>3212</v>
      </c>
      <c r="G15" s="20" t="s">
        <v>3</v>
      </c>
      <c r="H15" s="6" t="s">
        <v>3</v>
      </c>
      <c r="I15" s="5" t="s">
        <v>3088</v>
      </c>
      <c r="J15" s="5" t="s">
        <v>3071</v>
      </c>
      <c r="K15" s="5" t="s">
        <v>0</v>
      </c>
    </row>
    <row r="16" spans="1:11" ht="51" hidden="1" x14ac:dyDescent="0.2">
      <c r="B16" s="4" t="s">
        <v>3073</v>
      </c>
      <c r="C16" s="4"/>
      <c r="D16" s="4" t="s">
        <v>66</v>
      </c>
      <c r="E16" s="4" t="s">
        <v>27</v>
      </c>
      <c r="F16" s="4" t="s">
        <v>3211</v>
      </c>
      <c r="G16" s="20" t="s">
        <v>3</v>
      </c>
      <c r="H16" s="6" t="s">
        <v>3</v>
      </c>
      <c r="I16" s="5" t="s">
        <v>3088</v>
      </c>
      <c r="J16" s="5" t="s">
        <v>3071</v>
      </c>
      <c r="K16" s="5" t="s">
        <v>0</v>
      </c>
    </row>
    <row r="17" spans="2:11" ht="34" hidden="1" x14ac:dyDescent="0.2">
      <c r="B17" s="4" t="s">
        <v>3073</v>
      </c>
      <c r="C17" s="4" t="s">
        <v>382</v>
      </c>
      <c r="D17" s="4" t="s">
        <v>77</v>
      </c>
      <c r="E17" s="4" t="s">
        <v>5</v>
      </c>
      <c r="F17" s="4" t="s">
        <v>3210</v>
      </c>
      <c r="G17" s="20" t="s">
        <v>3</v>
      </c>
      <c r="H17" s="6" t="s">
        <v>3</v>
      </c>
      <c r="I17" s="5" t="s">
        <v>3088</v>
      </c>
      <c r="J17" s="5" t="s">
        <v>3071</v>
      </c>
      <c r="K17" s="5" t="s">
        <v>0</v>
      </c>
    </row>
    <row r="18" spans="2:11" ht="34" hidden="1" x14ac:dyDescent="0.2">
      <c r="B18" s="4" t="s">
        <v>3073</v>
      </c>
      <c r="C18" s="4"/>
      <c r="D18" s="4" t="s">
        <v>66</v>
      </c>
      <c r="E18" s="4" t="s">
        <v>27</v>
      </c>
      <c r="F18" s="4" t="s">
        <v>3209</v>
      </c>
      <c r="G18" s="20" t="s">
        <v>3</v>
      </c>
      <c r="H18" s="6" t="s">
        <v>3</v>
      </c>
      <c r="I18" s="5" t="s">
        <v>3088</v>
      </c>
      <c r="J18" s="5" t="s">
        <v>3071</v>
      </c>
      <c r="K18" s="5" t="s">
        <v>0</v>
      </c>
    </row>
    <row r="19" spans="2:11" ht="51" hidden="1" x14ac:dyDescent="0.2">
      <c r="B19" s="4" t="s">
        <v>3073</v>
      </c>
      <c r="C19" s="4" t="s">
        <v>141</v>
      </c>
      <c r="D19" s="4" t="s">
        <v>71</v>
      </c>
      <c r="E19" s="4" t="s">
        <v>5</v>
      </c>
      <c r="F19" s="4" t="s">
        <v>3208</v>
      </c>
      <c r="G19" s="23" t="s">
        <v>3</v>
      </c>
      <c r="H19" s="6" t="s">
        <v>3</v>
      </c>
      <c r="I19" s="5" t="s">
        <v>3088</v>
      </c>
      <c r="J19" s="5" t="s">
        <v>2719</v>
      </c>
      <c r="K19" s="5" t="s">
        <v>0</v>
      </c>
    </row>
    <row r="20" spans="2:11" ht="68" hidden="1" x14ac:dyDescent="0.2">
      <c r="B20" s="4" t="s">
        <v>3073</v>
      </c>
      <c r="C20" s="4" t="s">
        <v>576</v>
      </c>
      <c r="D20" s="4" t="s">
        <v>66</v>
      </c>
      <c r="E20" s="4" t="s">
        <v>5</v>
      </c>
      <c r="F20" s="4" t="s">
        <v>3207</v>
      </c>
      <c r="G20" s="14" t="s">
        <v>3206</v>
      </c>
      <c r="H20" s="6" t="s">
        <v>3</v>
      </c>
      <c r="I20" s="5" t="s">
        <v>3088</v>
      </c>
      <c r="J20" s="5" t="s">
        <v>3071</v>
      </c>
      <c r="K20" s="5" t="s">
        <v>0</v>
      </c>
    </row>
    <row r="21" spans="2:11" ht="15.75" hidden="1" customHeight="1" x14ac:dyDescent="0.2">
      <c r="B21" s="4" t="s">
        <v>3073</v>
      </c>
      <c r="C21" s="4" t="s">
        <v>104</v>
      </c>
      <c r="D21" s="4" t="s">
        <v>18</v>
      </c>
      <c r="E21" s="4" t="s">
        <v>5</v>
      </c>
      <c r="F21" s="4" t="s">
        <v>3205</v>
      </c>
      <c r="G21" s="20" t="s">
        <v>3</v>
      </c>
      <c r="H21" s="6" t="s">
        <v>3</v>
      </c>
      <c r="I21" s="5" t="s">
        <v>3088</v>
      </c>
      <c r="J21" s="5" t="s">
        <v>2719</v>
      </c>
      <c r="K21" s="5" t="s">
        <v>19</v>
      </c>
    </row>
    <row r="22" spans="2:11" ht="15.75" hidden="1" customHeight="1" x14ac:dyDescent="0.2">
      <c r="B22" s="4" t="s">
        <v>3073</v>
      </c>
      <c r="C22" s="5" t="s">
        <v>150</v>
      </c>
      <c r="D22" s="5" t="s">
        <v>150</v>
      </c>
      <c r="E22" s="5" t="s">
        <v>5</v>
      </c>
      <c r="F22" s="4" t="s">
        <v>3204</v>
      </c>
      <c r="G22" s="14" t="s">
        <v>11</v>
      </c>
      <c r="H22" s="6" t="s">
        <v>11</v>
      </c>
      <c r="I22" s="5" t="s">
        <v>2</v>
      </c>
      <c r="J22" s="5" t="s">
        <v>2719</v>
      </c>
      <c r="K22" s="5" t="s">
        <v>0</v>
      </c>
    </row>
    <row r="23" spans="2:11" ht="15.75" hidden="1" customHeight="1" x14ac:dyDescent="0.2">
      <c r="B23" s="4" t="s">
        <v>3073</v>
      </c>
      <c r="C23" s="4" t="s">
        <v>1363</v>
      </c>
      <c r="D23" s="4" t="s">
        <v>66</v>
      </c>
      <c r="E23" s="4" t="s">
        <v>27</v>
      </c>
      <c r="F23" s="4" t="s">
        <v>3203</v>
      </c>
      <c r="G23" s="20" t="s">
        <v>3</v>
      </c>
      <c r="H23" s="6" t="s">
        <v>3</v>
      </c>
      <c r="I23" s="5" t="s">
        <v>3088</v>
      </c>
      <c r="J23" s="5" t="s">
        <v>3071</v>
      </c>
      <c r="K23" s="5" t="s">
        <v>0</v>
      </c>
    </row>
    <row r="24" spans="2:11" ht="15.75" hidden="1" customHeight="1" x14ac:dyDescent="0.2">
      <c r="B24" s="4" t="s">
        <v>3073</v>
      </c>
      <c r="C24" s="4" t="s">
        <v>3202</v>
      </c>
      <c r="D24" s="4" t="s">
        <v>77</v>
      </c>
      <c r="E24" s="4" t="s">
        <v>5</v>
      </c>
      <c r="F24" s="4" t="s">
        <v>3201</v>
      </c>
      <c r="G24" s="20" t="s">
        <v>3</v>
      </c>
      <c r="H24" s="6" t="s">
        <v>3</v>
      </c>
      <c r="I24" s="5" t="s">
        <v>3088</v>
      </c>
      <c r="J24" s="5" t="s">
        <v>3071</v>
      </c>
      <c r="K24" s="5" t="s">
        <v>0</v>
      </c>
    </row>
    <row r="25" spans="2:11" ht="15.75" hidden="1" customHeight="1" x14ac:dyDescent="0.2">
      <c r="B25" s="4" t="s">
        <v>3073</v>
      </c>
      <c r="C25" s="4" t="s">
        <v>89</v>
      </c>
      <c r="D25" s="4" t="s">
        <v>88</v>
      </c>
      <c r="E25" s="4" t="s">
        <v>23</v>
      </c>
      <c r="F25" s="4" t="s">
        <v>3200</v>
      </c>
      <c r="G25" s="14" t="s">
        <v>3</v>
      </c>
      <c r="H25" s="6" t="s">
        <v>3</v>
      </c>
      <c r="I25" s="5" t="s">
        <v>3088</v>
      </c>
      <c r="J25" s="5" t="s">
        <v>3071</v>
      </c>
      <c r="K25" s="5" t="s">
        <v>0</v>
      </c>
    </row>
    <row r="26" spans="2:11" ht="15.75" hidden="1" customHeight="1" x14ac:dyDescent="0.2">
      <c r="B26" s="4" t="s">
        <v>3073</v>
      </c>
      <c r="C26" s="4" t="s">
        <v>104</v>
      </c>
      <c r="D26" s="4" t="s">
        <v>18</v>
      </c>
      <c r="E26" s="4" t="s">
        <v>55</v>
      </c>
      <c r="F26" s="4" t="s">
        <v>3199</v>
      </c>
      <c r="G26" s="20" t="s">
        <v>3</v>
      </c>
      <c r="H26" s="6" t="s">
        <v>3</v>
      </c>
      <c r="I26" s="5" t="s">
        <v>3088</v>
      </c>
      <c r="J26" s="5" t="s">
        <v>3071</v>
      </c>
      <c r="K26" s="5" t="s">
        <v>0</v>
      </c>
    </row>
    <row r="27" spans="2:11" ht="15.75" hidden="1" customHeight="1" x14ac:dyDescent="0.2">
      <c r="B27" s="4" t="s">
        <v>3073</v>
      </c>
      <c r="C27" s="4" t="s">
        <v>130</v>
      </c>
      <c r="D27" s="4" t="s">
        <v>77</v>
      </c>
      <c r="E27" s="4" t="s">
        <v>27</v>
      </c>
      <c r="F27" s="4" t="s">
        <v>3198</v>
      </c>
      <c r="G27" s="20" t="s">
        <v>348</v>
      </c>
      <c r="H27" s="6" t="s">
        <v>11</v>
      </c>
      <c r="I27" s="5" t="s">
        <v>3088</v>
      </c>
      <c r="J27" s="5" t="s">
        <v>3078</v>
      </c>
      <c r="K27" s="5" t="s">
        <v>75</v>
      </c>
    </row>
    <row r="28" spans="2:11" ht="15.75" hidden="1" customHeight="1" x14ac:dyDescent="0.2">
      <c r="B28" s="4" t="s">
        <v>3073</v>
      </c>
      <c r="C28" s="4" t="s">
        <v>3197</v>
      </c>
      <c r="D28" s="4" t="s">
        <v>66</v>
      </c>
      <c r="E28" s="4" t="s">
        <v>55</v>
      </c>
      <c r="F28" s="4" t="s">
        <v>3196</v>
      </c>
      <c r="G28" s="20" t="s">
        <v>3</v>
      </c>
      <c r="H28" s="6" t="s">
        <v>3</v>
      </c>
      <c r="I28" s="5" t="s">
        <v>3088</v>
      </c>
      <c r="J28" s="5" t="s">
        <v>3071</v>
      </c>
      <c r="K28" s="5" t="s">
        <v>0</v>
      </c>
    </row>
    <row r="29" spans="2:11" ht="15.75" hidden="1" customHeight="1" x14ac:dyDescent="0.2">
      <c r="B29" s="4" t="s">
        <v>3073</v>
      </c>
      <c r="C29" s="4" t="s">
        <v>3187</v>
      </c>
      <c r="D29" s="4" t="s">
        <v>66</v>
      </c>
      <c r="E29" s="4" t="s">
        <v>55</v>
      </c>
      <c r="F29" s="4" t="s">
        <v>3195</v>
      </c>
      <c r="G29" s="20" t="s">
        <v>3</v>
      </c>
      <c r="H29" s="6" t="s">
        <v>3</v>
      </c>
      <c r="I29" s="5" t="s">
        <v>3088</v>
      </c>
      <c r="J29" s="5" t="s">
        <v>3071</v>
      </c>
      <c r="K29" s="5" t="s">
        <v>0</v>
      </c>
    </row>
    <row r="30" spans="2:11" ht="15.75" hidden="1" customHeight="1" x14ac:dyDescent="0.2">
      <c r="B30" s="4" t="s">
        <v>3073</v>
      </c>
      <c r="C30" s="4" t="s">
        <v>3194</v>
      </c>
      <c r="D30" s="4" t="s">
        <v>66</v>
      </c>
      <c r="E30" s="4" t="s">
        <v>55</v>
      </c>
      <c r="F30" s="4" t="s">
        <v>3193</v>
      </c>
      <c r="G30" s="20" t="s">
        <v>3</v>
      </c>
      <c r="H30" s="6" t="s">
        <v>3</v>
      </c>
      <c r="I30" s="5" t="s">
        <v>3088</v>
      </c>
      <c r="J30" s="5" t="s">
        <v>3071</v>
      </c>
      <c r="K30" s="5" t="s">
        <v>0</v>
      </c>
    </row>
    <row r="31" spans="2:11" ht="15.75" hidden="1" customHeight="1" x14ac:dyDescent="0.2">
      <c r="B31" s="4" t="s">
        <v>3073</v>
      </c>
      <c r="C31" s="4" t="s">
        <v>576</v>
      </c>
      <c r="D31" s="4" t="s">
        <v>66</v>
      </c>
      <c r="E31" s="4" t="s">
        <v>27</v>
      </c>
      <c r="F31" s="4" t="s">
        <v>3192</v>
      </c>
      <c r="G31" s="20" t="s">
        <v>3</v>
      </c>
      <c r="H31" s="6" t="s">
        <v>3</v>
      </c>
      <c r="I31" s="5" t="s">
        <v>3088</v>
      </c>
      <c r="J31" s="5" t="s">
        <v>3071</v>
      </c>
      <c r="K31" s="5" t="s">
        <v>0</v>
      </c>
    </row>
    <row r="32" spans="2:11" ht="15.75" hidden="1" customHeight="1" x14ac:dyDescent="0.2">
      <c r="B32" s="4" t="s">
        <v>3073</v>
      </c>
      <c r="C32" s="4" t="s">
        <v>3191</v>
      </c>
      <c r="D32" s="4" t="s">
        <v>66</v>
      </c>
      <c r="E32" s="4" t="s">
        <v>27</v>
      </c>
      <c r="F32" s="4" t="s">
        <v>3190</v>
      </c>
      <c r="G32" s="20" t="s">
        <v>3</v>
      </c>
      <c r="H32" s="6" t="s">
        <v>3</v>
      </c>
      <c r="I32" s="5" t="s">
        <v>3088</v>
      </c>
      <c r="J32" s="5" t="s">
        <v>3071</v>
      </c>
      <c r="K32" s="5" t="s">
        <v>0</v>
      </c>
    </row>
    <row r="33" spans="2:11" ht="15.75" hidden="1" customHeight="1" x14ac:dyDescent="0.2">
      <c r="B33" s="4" t="s">
        <v>3073</v>
      </c>
      <c r="C33" s="4" t="s">
        <v>89</v>
      </c>
      <c r="D33" s="4" t="s">
        <v>88</v>
      </c>
      <c r="E33" s="4" t="s">
        <v>55</v>
      </c>
      <c r="F33" s="4" t="s">
        <v>3189</v>
      </c>
      <c r="G33" s="20" t="s">
        <v>3</v>
      </c>
      <c r="H33" s="6" t="s">
        <v>3</v>
      </c>
      <c r="I33" s="5" t="s">
        <v>3088</v>
      </c>
      <c r="J33" s="5" t="s">
        <v>3071</v>
      </c>
      <c r="K33" s="5" t="s">
        <v>0</v>
      </c>
    </row>
    <row r="34" spans="2:11" ht="15.75" hidden="1" customHeight="1" x14ac:dyDescent="0.2">
      <c r="B34" s="4" t="s">
        <v>3073</v>
      </c>
      <c r="C34" s="4" t="s">
        <v>382</v>
      </c>
      <c r="D34" s="4" t="s">
        <v>77</v>
      </c>
      <c r="E34" s="4" t="s">
        <v>5</v>
      </c>
      <c r="F34" s="4" t="s">
        <v>3188</v>
      </c>
      <c r="G34" s="20" t="s">
        <v>348</v>
      </c>
      <c r="H34" s="6" t="s">
        <v>11</v>
      </c>
      <c r="I34" s="5" t="s">
        <v>10</v>
      </c>
      <c r="J34" s="5" t="s">
        <v>2719</v>
      </c>
      <c r="K34" s="5" t="s">
        <v>0</v>
      </c>
    </row>
    <row r="35" spans="2:11" ht="15.75" hidden="1" customHeight="1" x14ac:dyDescent="0.2">
      <c r="B35" s="4" t="s">
        <v>3073</v>
      </c>
      <c r="C35" s="4" t="s">
        <v>3187</v>
      </c>
      <c r="D35" s="4" t="s">
        <v>66</v>
      </c>
      <c r="E35" s="4" t="s">
        <v>27</v>
      </c>
      <c r="F35" s="4" t="s">
        <v>3186</v>
      </c>
      <c r="G35" s="4" t="s">
        <v>3185</v>
      </c>
      <c r="H35" s="6" t="s">
        <v>3</v>
      </c>
      <c r="I35" s="5" t="s">
        <v>3088</v>
      </c>
      <c r="J35" s="5" t="s">
        <v>3071</v>
      </c>
      <c r="K35" s="5" t="s">
        <v>0</v>
      </c>
    </row>
    <row r="36" spans="2:11" ht="15.75" hidden="1" customHeight="1" x14ac:dyDescent="0.2">
      <c r="B36" s="4" t="s">
        <v>3073</v>
      </c>
      <c r="C36" s="4" t="s">
        <v>104</v>
      </c>
      <c r="D36" s="4" t="s">
        <v>18</v>
      </c>
      <c r="E36" s="4" t="s">
        <v>159</v>
      </c>
      <c r="F36" s="4" t="s">
        <v>3184</v>
      </c>
      <c r="G36" s="20" t="s">
        <v>3</v>
      </c>
      <c r="H36" s="6" t="s">
        <v>3</v>
      </c>
      <c r="I36" s="5" t="s">
        <v>3088</v>
      </c>
      <c r="J36" s="5" t="s">
        <v>3078</v>
      </c>
      <c r="K36" s="5" t="s">
        <v>0</v>
      </c>
    </row>
    <row r="37" spans="2:11" ht="15.75" hidden="1" customHeight="1" x14ac:dyDescent="0.2">
      <c r="B37" s="4" t="s">
        <v>3073</v>
      </c>
      <c r="C37" s="4" t="s">
        <v>139</v>
      </c>
      <c r="D37" s="4" t="s">
        <v>18</v>
      </c>
      <c r="E37" s="4" t="s">
        <v>27</v>
      </c>
      <c r="F37" s="4" t="s">
        <v>3183</v>
      </c>
      <c r="G37" s="19" t="s">
        <v>3</v>
      </c>
      <c r="H37" s="6" t="s">
        <v>3</v>
      </c>
      <c r="I37" s="5" t="s">
        <v>3088</v>
      </c>
      <c r="J37" s="5" t="s">
        <v>3071</v>
      </c>
      <c r="K37" s="5" t="s">
        <v>0</v>
      </c>
    </row>
    <row r="38" spans="2:11" ht="15.75" hidden="1" customHeight="1" x14ac:dyDescent="0.2">
      <c r="B38" s="4" t="s">
        <v>3073</v>
      </c>
      <c r="C38" s="4" t="s">
        <v>2218</v>
      </c>
      <c r="D38" s="4" t="s">
        <v>267</v>
      </c>
      <c r="E38" s="4" t="s">
        <v>159</v>
      </c>
      <c r="F38" s="4" t="s">
        <v>3182</v>
      </c>
      <c r="G38" s="20" t="s">
        <v>3</v>
      </c>
      <c r="H38" s="6" t="s">
        <v>3</v>
      </c>
      <c r="I38" s="5" t="s">
        <v>3088</v>
      </c>
      <c r="J38" s="5" t="s">
        <v>2719</v>
      </c>
      <c r="K38" s="5" t="s">
        <v>0</v>
      </c>
    </row>
    <row r="39" spans="2:11" ht="15.75" hidden="1" customHeight="1" x14ac:dyDescent="0.2">
      <c r="B39" s="4" t="s">
        <v>3073</v>
      </c>
      <c r="C39" s="4" t="s">
        <v>271</v>
      </c>
      <c r="D39" s="4" t="s">
        <v>94</v>
      </c>
      <c r="E39" s="4" t="s">
        <v>55</v>
      </c>
      <c r="F39" s="4" t="s">
        <v>3181</v>
      </c>
      <c r="G39" s="6" t="s">
        <v>3180</v>
      </c>
      <c r="H39" s="6" t="s">
        <v>272</v>
      </c>
      <c r="I39" s="5" t="s">
        <v>3088</v>
      </c>
      <c r="J39" s="5" t="s">
        <v>3071</v>
      </c>
      <c r="K39" s="5" t="s">
        <v>0</v>
      </c>
    </row>
    <row r="40" spans="2:11" ht="15.75" hidden="1" customHeight="1" x14ac:dyDescent="0.2">
      <c r="B40" s="4" t="s">
        <v>3073</v>
      </c>
      <c r="C40" s="4" t="s">
        <v>3179</v>
      </c>
      <c r="D40" s="4" t="s">
        <v>66</v>
      </c>
      <c r="E40" s="4" t="s">
        <v>5</v>
      </c>
      <c r="F40" s="4" t="s">
        <v>3178</v>
      </c>
      <c r="G40" s="4" t="s">
        <v>3177</v>
      </c>
      <c r="H40" s="6" t="s">
        <v>3</v>
      </c>
      <c r="I40" s="5" t="s">
        <v>3088</v>
      </c>
      <c r="J40" s="5" t="s">
        <v>3071</v>
      </c>
      <c r="K40" s="5" t="s">
        <v>0</v>
      </c>
    </row>
    <row r="41" spans="2:11" ht="15.75" hidden="1" customHeight="1" x14ac:dyDescent="0.2">
      <c r="B41" s="4" t="s">
        <v>3073</v>
      </c>
      <c r="C41" s="4" t="s">
        <v>141</v>
      </c>
      <c r="D41" s="4" t="s">
        <v>71</v>
      </c>
      <c r="E41" s="4" t="s">
        <v>23</v>
      </c>
      <c r="F41" s="4" t="s">
        <v>3176</v>
      </c>
      <c r="G41" s="14" t="s">
        <v>3</v>
      </c>
      <c r="H41" s="6" t="s">
        <v>3</v>
      </c>
      <c r="I41" s="5" t="s">
        <v>3088</v>
      </c>
      <c r="J41" s="5" t="s">
        <v>3078</v>
      </c>
      <c r="K41" s="5" t="s">
        <v>19</v>
      </c>
    </row>
    <row r="42" spans="2:11" ht="15.75" hidden="1" customHeight="1" x14ac:dyDescent="0.2">
      <c r="B42" s="4" t="s">
        <v>3073</v>
      </c>
      <c r="C42" s="4"/>
      <c r="D42" s="4" t="s">
        <v>236</v>
      </c>
      <c r="E42" s="4" t="s">
        <v>17</v>
      </c>
      <c r="F42" s="4" t="s">
        <v>3175</v>
      </c>
      <c r="G42" s="14" t="s">
        <v>348</v>
      </c>
      <c r="H42" s="6" t="s">
        <v>11</v>
      </c>
      <c r="I42" s="5" t="s">
        <v>10</v>
      </c>
      <c r="J42" s="5" t="s">
        <v>2719</v>
      </c>
      <c r="K42" s="5" t="s">
        <v>75</v>
      </c>
    </row>
    <row r="43" spans="2:11" ht="15.75" hidden="1" customHeight="1" x14ac:dyDescent="0.2">
      <c r="B43" s="4" t="s">
        <v>3073</v>
      </c>
      <c r="C43" s="4" t="s">
        <v>3174</v>
      </c>
      <c r="D43" s="4" t="s">
        <v>36</v>
      </c>
      <c r="E43" s="4" t="s">
        <v>23</v>
      </c>
      <c r="F43" s="4" t="s">
        <v>3173</v>
      </c>
      <c r="G43" s="14" t="s">
        <v>3</v>
      </c>
      <c r="H43" s="6" t="s">
        <v>3</v>
      </c>
      <c r="I43" s="5" t="s">
        <v>3088</v>
      </c>
      <c r="J43" s="5" t="s">
        <v>3078</v>
      </c>
      <c r="K43" s="5" t="s">
        <v>19</v>
      </c>
    </row>
    <row r="44" spans="2:11" ht="15.75" hidden="1" customHeight="1" x14ac:dyDescent="0.2">
      <c r="B44" s="4" t="s">
        <v>3073</v>
      </c>
      <c r="C44" s="4" t="s">
        <v>139</v>
      </c>
      <c r="D44" s="4" t="s">
        <v>18</v>
      </c>
      <c r="E44" s="4" t="s">
        <v>27</v>
      </c>
      <c r="F44" s="4" t="s">
        <v>3172</v>
      </c>
      <c r="G44" s="20" t="s">
        <v>3</v>
      </c>
      <c r="H44" s="6" t="s">
        <v>3</v>
      </c>
      <c r="I44" s="5" t="s">
        <v>3088</v>
      </c>
      <c r="J44" s="5" t="s">
        <v>3071</v>
      </c>
      <c r="K44" s="5" t="s">
        <v>0</v>
      </c>
    </row>
    <row r="45" spans="2:11" ht="15.75" hidden="1" customHeight="1" x14ac:dyDescent="0.2">
      <c r="B45" s="4" t="s">
        <v>3073</v>
      </c>
      <c r="C45" s="4" t="s">
        <v>141</v>
      </c>
      <c r="D45" s="4" t="s">
        <v>71</v>
      </c>
      <c r="E45" s="4" t="s">
        <v>27</v>
      </c>
      <c r="F45" s="4" t="s">
        <v>3171</v>
      </c>
      <c r="G45" s="14" t="s">
        <v>3</v>
      </c>
      <c r="H45" s="6" t="s">
        <v>3</v>
      </c>
      <c r="I45" s="5" t="s">
        <v>3088</v>
      </c>
      <c r="J45" s="5" t="s">
        <v>3078</v>
      </c>
      <c r="K45" s="5" t="s">
        <v>446</v>
      </c>
    </row>
    <row r="46" spans="2:11" ht="15.75" hidden="1" customHeight="1" x14ac:dyDescent="0.2">
      <c r="B46" s="4" t="s">
        <v>3073</v>
      </c>
      <c r="C46" s="4" t="s">
        <v>104</v>
      </c>
      <c r="D46" s="4" t="s">
        <v>18</v>
      </c>
      <c r="E46" s="4" t="s">
        <v>55</v>
      </c>
      <c r="F46" s="4" t="s">
        <v>3170</v>
      </c>
      <c r="G46" s="23" t="s">
        <v>3</v>
      </c>
      <c r="H46" s="6" t="s">
        <v>3</v>
      </c>
      <c r="I46" s="5" t="s">
        <v>3088</v>
      </c>
      <c r="J46" s="5" t="s">
        <v>3078</v>
      </c>
      <c r="K46" s="5" t="s">
        <v>75</v>
      </c>
    </row>
    <row r="47" spans="2:11" ht="15.75" hidden="1" customHeight="1" x14ac:dyDescent="0.2">
      <c r="B47" s="4" t="s">
        <v>3073</v>
      </c>
      <c r="C47" s="4" t="s">
        <v>3169</v>
      </c>
      <c r="D47" s="4" t="s">
        <v>18</v>
      </c>
      <c r="E47" s="4" t="s">
        <v>23</v>
      </c>
      <c r="F47" s="4" t="s">
        <v>3168</v>
      </c>
      <c r="G47" s="19" t="s">
        <v>3</v>
      </c>
      <c r="H47" s="6" t="s">
        <v>3</v>
      </c>
      <c r="I47" s="5" t="s">
        <v>3088</v>
      </c>
      <c r="J47" s="5" t="s">
        <v>3071</v>
      </c>
      <c r="K47" s="5" t="s">
        <v>0</v>
      </c>
    </row>
    <row r="48" spans="2:11" ht="15.75" hidden="1" customHeight="1" x14ac:dyDescent="0.2">
      <c r="B48" s="4" t="s">
        <v>3073</v>
      </c>
      <c r="C48" s="4" t="s">
        <v>139</v>
      </c>
      <c r="D48" s="4" t="s">
        <v>18</v>
      </c>
      <c r="E48" s="4" t="s">
        <v>27</v>
      </c>
      <c r="F48" s="4" t="s">
        <v>3167</v>
      </c>
      <c r="G48" s="20" t="s">
        <v>348</v>
      </c>
      <c r="H48" s="6" t="s">
        <v>11</v>
      </c>
      <c r="I48" s="5" t="s">
        <v>3088</v>
      </c>
      <c r="J48" s="5" t="s">
        <v>3071</v>
      </c>
      <c r="K48" s="5" t="s">
        <v>0</v>
      </c>
    </row>
    <row r="49" spans="2:11" ht="15.75" hidden="1" customHeight="1" x14ac:dyDescent="0.2">
      <c r="B49" s="4" t="s">
        <v>3073</v>
      </c>
      <c r="C49" s="4" t="s">
        <v>130</v>
      </c>
      <c r="D49" s="4" t="s">
        <v>77</v>
      </c>
      <c r="E49" s="4" t="s">
        <v>23</v>
      </c>
      <c r="F49" s="4" t="s">
        <v>3166</v>
      </c>
      <c r="G49" s="20" t="s">
        <v>3</v>
      </c>
      <c r="H49" s="6" t="s">
        <v>3</v>
      </c>
      <c r="I49" s="5" t="s">
        <v>3088</v>
      </c>
      <c r="J49" s="5" t="s">
        <v>3071</v>
      </c>
      <c r="K49" s="5" t="s">
        <v>0</v>
      </c>
    </row>
    <row r="50" spans="2:11" ht="15.75" hidden="1" customHeight="1" x14ac:dyDescent="0.2">
      <c r="B50" s="4" t="s">
        <v>3073</v>
      </c>
      <c r="C50" s="4" t="s">
        <v>130</v>
      </c>
      <c r="D50" s="4" t="s">
        <v>77</v>
      </c>
      <c r="E50" s="4" t="s">
        <v>23</v>
      </c>
      <c r="F50" s="4" t="s">
        <v>3165</v>
      </c>
      <c r="G50" s="20" t="s">
        <v>3</v>
      </c>
      <c r="H50" s="6" t="s">
        <v>3</v>
      </c>
      <c r="I50" s="5" t="s">
        <v>10</v>
      </c>
      <c r="J50" s="5" t="s">
        <v>3078</v>
      </c>
      <c r="K50" s="5" t="s">
        <v>0</v>
      </c>
    </row>
    <row r="51" spans="2:11" ht="15.75" hidden="1" customHeight="1" x14ac:dyDescent="0.2">
      <c r="B51" s="4" t="s">
        <v>3073</v>
      </c>
      <c r="C51" s="4" t="s">
        <v>111</v>
      </c>
      <c r="D51" s="4" t="s">
        <v>24</v>
      </c>
      <c r="E51" s="4" t="s">
        <v>5</v>
      </c>
      <c r="F51" s="4" t="s">
        <v>3164</v>
      </c>
      <c r="G51" s="23" t="s">
        <v>3</v>
      </c>
      <c r="H51" s="6" t="s">
        <v>3</v>
      </c>
      <c r="I51" s="5" t="s">
        <v>3088</v>
      </c>
      <c r="J51" s="5" t="s">
        <v>3071</v>
      </c>
      <c r="K51" s="5" t="s">
        <v>0</v>
      </c>
    </row>
    <row r="52" spans="2:11" ht="15.75" hidden="1" customHeight="1" x14ac:dyDescent="0.2">
      <c r="B52" s="4" t="s">
        <v>3073</v>
      </c>
      <c r="C52" s="4" t="s">
        <v>3163</v>
      </c>
      <c r="D52" s="4" t="s">
        <v>42</v>
      </c>
      <c r="E52" s="4" t="s">
        <v>5</v>
      </c>
      <c r="F52" s="4" t="s">
        <v>3162</v>
      </c>
      <c r="G52" s="14" t="s">
        <v>11</v>
      </c>
      <c r="H52" s="6" t="s">
        <v>11</v>
      </c>
      <c r="I52" s="5" t="s">
        <v>3088</v>
      </c>
      <c r="J52" s="5" t="s">
        <v>3071</v>
      </c>
      <c r="K52" s="5"/>
    </row>
    <row r="53" spans="2:11" ht="15.75" hidden="1" customHeight="1" x14ac:dyDescent="0.2">
      <c r="B53" s="4" t="s">
        <v>3073</v>
      </c>
      <c r="C53" s="4" t="s">
        <v>150</v>
      </c>
      <c r="D53" s="4" t="s">
        <v>150</v>
      </c>
      <c r="E53" s="4" t="s">
        <v>5</v>
      </c>
      <c r="F53" s="4" t="s">
        <v>3161</v>
      </c>
      <c r="G53" s="23" t="s">
        <v>11</v>
      </c>
      <c r="H53" s="6" t="s">
        <v>11</v>
      </c>
      <c r="I53" s="5" t="s">
        <v>3088</v>
      </c>
      <c r="J53" s="5" t="s">
        <v>3078</v>
      </c>
      <c r="K53" s="5"/>
    </row>
    <row r="54" spans="2:11" ht="15.75" hidden="1" customHeight="1" x14ac:dyDescent="0.2">
      <c r="B54" s="4" t="s">
        <v>3073</v>
      </c>
      <c r="C54" s="4" t="s">
        <v>3160</v>
      </c>
      <c r="D54" s="4" t="s">
        <v>221</v>
      </c>
      <c r="E54" s="4" t="s">
        <v>5</v>
      </c>
      <c r="F54" s="4" t="s">
        <v>3159</v>
      </c>
      <c r="G54" s="23" t="s">
        <v>11</v>
      </c>
      <c r="H54" s="6" t="s">
        <v>11</v>
      </c>
      <c r="I54" s="5" t="s">
        <v>3088</v>
      </c>
      <c r="J54" s="5" t="s">
        <v>3078</v>
      </c>
      <c r="K54" s="5" t="s">
        <v>0</v>
      </c>
    </row>
    <row r="55" spans="2:11" ht="15.75" hidden="1" customHeight="1" x14ac:dyDescent="0.2">
      <c r="B55" s="4" t="s">
        <v>3073</v>
      </c>
      <c r="C55" s="4" t="s">
        <v>141</v>
      </c>
      <c r="D55" s="4" t="s">
        <v>71</v>
      </c>
      <c r="E55" s="4" t="s">
        <v>23</v>
      </c>
      <c r="F55" s="4" t="s">
        <v>3158</v>
      </c>
      <c r="G55" s="14" t="s">
        <v>3</v>
      </c>
      <c r="H55" s="6" t="s">
        <v>3</v>
      </c>
      <c r="I55" s="5" t="s">
        <v>3088</v>
      </c>
      <c r="J55" s="5" t="s">
        <v>3078</v>
      </c>
      <c r="K55" s="5" t="s">
        <v>19</v>
      </c>
    </row>
    <row r="56" spans="2:11" ht="15.75" hidden="1" customHeight="1" x14ac:dyDescent="0.2">
      <c r="B56" s="4" t="s">
        <v>3073</v>
      </c>
      <c r="C56" s="4" t="s">
        <v>706</v>
      </c>
      <c r="D56" s="4" t="s">
        <v>18</v>
      </c>
      <c r="E56" s="4" t="s">
        <v>27</v>
      </c>
      <c r="F56" s="4" t="s">
        <v>3157</v>
      </c>
      <c r="G56" s="20" t="s">
        <v>3</v>
      </c>
      <c r="H56" s="6" t="s">
        <v>3</v>
      </c>
      <c r="I56" s="5" t="s">
        <v>3088</v>
      </c>
      <c r="J56" s="5" t="s">
        <v>3071</v>
      </c>
      <c r="K56" s="5" t="s">
        <v>0</v>
      </c>
    </row>
    <row r="57" spans="2:11" ht="15.75" hidden="1" customHeight="1" x14ac:dyDescent="0.2">
      <c r="B57" s="4" t="s">
        <v>3073</v>
      </c>
      <c r="C57" s="4" t="s">
        <v>3156</v>
      </c>
      <c r="D57" s="4" t="s">
        <v>42</v>
      </c>
      <c r="E57" s="4" t="s">
        <v>5</v>
      </c>
      <c r="F57" s="4" t="s">
        <v>3155</v>
      </c>
      <c r="G57" s="23" t="s">
        <v>3</v>
      </c>
      <c r="H57" s="6" t="s">
        <v>3</v>
      </c>
      <c r="I57" s="5" t="s">
        <v>3088</v>
      </c>
      <c r="J57" s="5" t="s">
        <v>3071</v>
      </c>
      <c r="K57" s="5" t="s">
        <v>19</v>
      </c>
    </row>
    <row r="58" spans="2:11" ht="15.75" hidden="1" customHeight="1" x14ac:dyDescent="0.2">
      <c r="B58" s="4" t="s">
        <v>3073</v>
      </c>
      <c r="C58" s="4" t="s">
        <v>3154</v>
      </c>
      <c r="D58" s="4" t="s">
        <v>24</v>
      </c>
      <c r="E58" s="4" t="s">
        <v>27</v>
      </c>
      <c r="F58" s="4" t="s">
        <v>3153</v>
      </c>
      <c r="G58" s="4" t="s">
        <v>447</v>
      </c>
      <c r="H58" s="6" t="s">
        <v>272</v>
      </c>
      <c r="I58" s="5" t="s">
        <v>3088</v>
      </c>
      <c r="J58" s="5" t="s">
        <v>3071</v>
      </c>
      <c r="K58" s="5" t="s">
        <v>0</v>
      </c>
    </row>
    <row r="59" spans="2:11" ht="15.75" hidden="1" customHeight="1" x14ac:dyDescent="0.2">
      <c r="B59" s="4" t="s">
        <v>3073</v>
      </c>
      <c r="C59" s="4" t="s">
        <v>834</v>
      </c>
      <c r="D59" s="4" t="s">
        <v>232</v>
      </c>
      <c r="E59" s="4" t="s">
        <v>23</v>
      </c>
      <c r="F59" s="4" t="s">
        <v>3152</v>
      </c>
      <c r="G59" s="20" t="s">
        <v>3</v>
      </c>
      <c r="H59" s="6" t="s">
        <v>3</v>
      </c>
      <c r="I59" s="5" t="s">
        <v>3088</v>
      </c>
      <c r="J59" s="5" t="s">
        <v>3071</v>
      </c>
      <c r="K59" s="5" t="s">
        <v>19</v>
      </c>
    </row>
    <row r="60" spans="2:11" ht="15.75" hidden="1" customHeight="1" x14ac:dyDescent="0.2">
      <c r="B60" s="4" t="s">
        <v>3073</v>
      </c>
      <c r="C60" s="4" t="s">
        <v>91</v>
      </c>
      <c r="D60" s="4" t="s">
        <v>42</v>
      </c>
      <c r="E60" s="4" t="s">
        <v>5</v>
      </c>
      <c r="F60" s="4" t="s">
        <v>3151</v>
      </c>
      <c r="G60" s="14" t="s">
        <v>3150</v>
      </c>
      <c r="H60" s="6" t="s">
        <v>3</v>
      </c>
      <c r="I60" s="5" t="s">
        <v>10</v>
      </c>
      <c r="J60" s="5" t="s">
        <v>3071</v>
      </c>
      <c r="K60" s="5" t="s">
        <v>0</v>
      </c>
    </row>
    <row r="61" spans="2:11" ht="15.75" hidden="1" customHeight="1" x14ac:dyDescent="0.2">
      <c r="B61" s="4" t="s">
        <v>3073</v>
      </c>
      <c r="C61" s="4" t="s">
        <v>111</v>
      </c>
      <c r="D61" s="4" t="s">
        <v>24</v>
      </c>
      <c r="E61" s="4" t="s">
        <v>27</v>
      </c>
      <c r="F61" s="4" t="s">
        <v>3149</v>
      </c>
      <c r="G61" s="4" t="s">
        <v>447</v>
      </c>
      <c r="H61" s="6" t="s">
        <v>272</v>
      </c>
      <c r="I61" s="5" t="s">
        <v>3088</v>
      </c>
      <c r="J61" s="5" t="s">
        <v>3071</v>
      </c>
      <c r="K61" s="5" t="s">
        <v>0</v>
      </c>
    </row>
    <row r="62" spans="2:11" ht="15.75" hidden="1" customHeight="1" x14ac:dyDescent="0.2">
      <c r="B62" s="4" t="s">
        <v>3073</v>
      </c>
      <c r="C62" s="4" t="s">
        <v>3148</v>
      </c>
      <c r="D62" s="4" t="s">
        <v>210</v>
      </c>
      <c r="E62" s="4" t="s">
        <v>5</v>
      </c>
      <c r="F62" s="4" t="s">
        <v>3147</v>
      </c>
      <c r="G62" s="23" t="s">
        <v>11</v>
      </c>
      <c r="H62" s="6" t="s">
        <v>11</v>
      </c>
      <c r="I62" s="5" t="s">
        <v>3088</v>
      </c>
      <c r="J62" s="5" t="s">
        <v>3078</v>
      </c>
      <c r="K62" s="5" t="s">
        <v>0</v>
      </c>
    </row>
    <row r="63" spans="2:11" ht="15.75" hidden="1" customHeight="1" x14ac:dyDescent="0.2">
      <c r="B63" s="4" t="s">
        <v>3073</v>
      </c>
      <c r="C63" s="4" t="s">
        <v>382</v>
      </c>
      <c r="D63" s="4" t="s">
        <v>77</v>
      </c>
      <c r="E63" s="4" t="s">
        <v>5</v>
      </c>
      <c r="F63" s="4" t="s">
        <v>3146</v>
      </c>
      <c r="G63" s="20" t="s">
        <v>348</v>
      </c>
      <c r="H63" s="6" t="s">
        <v>11</v>
      </c>
      <c r="I63" s="5" t="s">
        <v>3088</v>
      </c>
      <c r="J63" s="5" t="s">
        <v>3078</v>
      </c>
      <c r="K63" s="5" t="s">
        <v>0</v>
      </c>
    </row>
    <row r="64" spans="2:11" ht="15.75" hidden="1" customHeight="1" x14ac:dyDescent="0.2">
      <c r="B64" s="4" t="s">
        <v>3073</v>
      </c>
      <c r="C64" s="4" t="s">
        <v>111</v>
      </c>
      <c r="D64" s="4" t="s">
        <v>24</v>
      </c>
      <c r="E64" s="4" t="s">
        <v>5</v>
      </c>
      <c r="F64" s="4" t="s">
        <v>3145</v>
      </c>
      <c r="G64" s="7" t="s">
        <v>11</v>
      </c>
      <c r="H64" s="6" t="s">
        <v>11</v>
      </c>
      <c r="I64" s="4" t="s">
        <v>10</v>
      </c>
      <c r="J64" s="4" t="s">
        <v>2719</v>
      </c>
      <c r="K64" s="4" t="s">
        <v>0</v>
      </c>
    </row>
    <row r="65" spans="2:11" ht="15.75" hidden="1" customHeight="1" x14ac:dyDescent="0.2">
      <c r="B65" s="4" t="s">
        <v>3073</v>
      </c>
      <c r="C65" s="4" t="s">
        <v>3104</v>
      </c>
      <c r="D65" s="4" t="s">
        <v>36</v>
      </c>
      <c r="E65" s="4" t="s">
        <v>159</v>
      </c>
      <c r="F65" s="4" t="s">
        <v>3144</v>
      </c>
      <c r="G65" s="4" t="s">
        <v>273</v>
      </c>
      <c r="H65" s="6" t="s">
        <v>272</v>
      </c>
      <c r="I65" s="5" t="s">
        <v>3088</v>
      </c>
      <c r="J65" s="5" t="s">
        <v>2719</v>
      </c>
      <c r="K65" s="5" t="s">
        <v>0</v>
      </c>
    </row>
    <row r="66" spans="2:11" ht="15.75" hidden="1" customHeight="1" x14ac:dyDescent="0.2">
      <c r="B66" s="4" t="s">
        <v>3073</v>
      </c>
      <c r="C66" s="4" t="s">
        <v>228</v>
      </c>
      <c r="D66" s="4" t="s">
        <v>36</v>
      </c>
      <c r="E66" s="4" t="s">
        <v>23</v>
      </c>
      <c r="F66" s="4" t="s">
        <v>3143</v>
      </c>
      <c r="G66" s="20" t="s">
        <v>3</v>
      </c>
      <c r="H66" s="6" t="s">
        <v>3</v>
      </c>
      <c r="I66" s="5" t="s">
        <v>3088</v>
      </c>
      <c r="J66" s="5" t="s">
        <v>3071</v>
      </c>
      <c r="K66" s="5" t="s">
        <v>0</v>
      </c>
    </row>
    <row r="67" spans="2:11" ht="15.75" hidden="1" customHeight="1" x14ac:dyDescent="0.2">
      <c r="B67" s="4" t="s">
        <v>3073</v>
      </c>
      <c r="C67" s="4" t="s">
        <v>111</v>
      </c>
      <c r="D67" s="4" t="s">
        <v>24</v>
      </c>
      <c r="E67" s="4" t="s">
        <v>23</v>
      </c>
      <c r="F67" s="4" t="s">
        <v>3142</v>
      </c>
      <c r="G67" s="20" t="s">
        <v>3</v>
      </c>
      <c r="H67" s="6" t="s">
        <v>3</v>
      </c>
      <c r="I67" s="5" t="s">
        <v>3088</v>
      </c>
      <c r="J67" s="5" t="s">
        <v>3078</v>
      </c>
      <c r="K67" s="5" t="s">
        <v>0</v>
      </c>
    </row>
    <row r="68" spans="2:11" ht="15.75" hidden="1" customHeight="1" x14ac:dyDescent="0.2">
      <c r="B68" s="4" t="s">
        <v>3073</v>
      </c>
      <c r="C68" s="4" t="s">
        <v>98</v>
      </c>
      <c r="D68" s="4" t="s">
        <v>97</v>
      </c>
      <c r="E68" s="4" t="s">
        <v>81</v>
      </c>
      <c r="F68" s="4" t="s">
        <v>3141</v>
      </c>
      <c r="G68" s="20" t="s">
        <v>11</v>
      </c>
      <c r="H68" s="6" t="s">
        <v>11</v>
      </c>
      <c r="I68" s="5" t="s">
        <v>3088</v>
      </c>
      <c r="J68" s="5" t="s">
        <v>3078</v>
      </c>
      <c r="K68" s="5" t="s">
        <v>0</v>
      </c>
    </row>
    <row r="69" spans="2:11" ht="15.75" hidden="1" customHeight="1" x14ac:dyDescent="0.2">
      <c r="B69" s="4" t="s">
        <v>3073</v>
      </c>
      <c r="C69" s="4" t="s">
        <v>594</v>
      </c>
      <c r="D69" s="4" t="s">
        <v>66</v>
      </c>
      <c r="E69" s="4" t="s">
        <v>5</v>
      </c>
      <c r="F69" s="4" t="s">
        <v>3140</v>
      </c>
      <c r="G69" s="14" t="s">
        <v>348</v>
      </c>
      <c r="H69" s="6" t="s">
        <v>11</v>
      </c>
      <c r="I69" s="5" t="s">
        <v>10</v>
      </c>
      <c r="J69" s="5" t="s">
        <v>2719</v>
      </c>
      <c r="K69" s="5" t="s">
        <v>0</v>
      </c>
    </row>
    <row r="70" spans="2:11" ht="15.75" hidden="1" customHeight="1" x14ac:dyDescent="0.2">
      <c r="B70" s="4" t="s">
        <v>3073</v>
      </c>
      <c r="C70" s="4" t="s">
        <v>878</v>
      </c>
      <c r="D70" s="4" t="s">
        <v>877</v>
      </c>
      <c r="E70" s="4" t="s">
        <v>5</v>
      </c>
      <c r="F70" s="4" t="s">
        <v>3139</v>
      </c>
      <c r="G70" s="20" t="s">
        <v>11</v>
      </c>
      <c r="H70" s="6" t="s">
        <v>11</v>
      </c>
      <c r="I70" s="5" t="s">
        <v>3088</v>
      </c>
      <c r="J70" s="5" t="s">
        <v>2719</v>
      </c>
      <c r="K70" s="5" t="s">
        <v>0</v>
      </c>
    </row>
    <row r="71" spans="2:11" ht="15.75" hidden="1" customHeight="1" x14ac:dyDescent="0.2">
      <c r="B71" s="4" t="s">
        <v>3073</v>
      </c>
      <c r="C71" s="4" t="s">
        <v>2111</v>
      </c>
      <c r="D71" s="4" t="s">
        <v>36</v>
      </c>
      <c r="E71" s="4" t="s">
        <v>27</v>
      </c>
      <c r="F71" s="4" t="s">
        <v>3138</v>
      </c>
      <c r="G71" s="23" t="s">
        <v>3137</v>
      </c>
      <c r="H71" s="6" t="s">
        <v>3</v>
      </c>
      <c r="I71" s="5" t="s">
        <v>3088</v>
      </c>
      <c r="J71" s="5" t="s">
        <v>3071</v>
      </c>
      <c r="K71" s="5" t="s">
        <v>0</v>
      </c>
    </row>
    <row r="72" spans="2:11" ht="15.75" hidden="1" customHeight="1" x14ac:dyDescent="0.2">
      <c r="B72" s="4" t="s">
        <v>3073</v>
      </c>
      <c r="C72" s="4" t="s">
        <v>523</v>
      </c>
      <c r="D72" s="4" t="s">
        <v>36</v>
      </c>
      <c r="E72" s="4" t="s">
        <v>23</v>
      </c>
      <c r="F72" s="4" t="s">
        <v>3136</v>
      </c>
      <c r="G72" s="20" t="s">
        <v>3</v>
      </c>
      <c r="H72" s="6" t="s">
        <v>3</v>
      </c>
      <c r="I72" s="5" t="s">
        <v>3088</v>
      </c>
      <c r="J72" s="5" t="s">
        <v>3071</v>
      </c>
      <c r="K72" s="5" t="s">
        <v>19</v>
      </c>
    </row>
    <row r="73" spans="2:11" ht="15.75" hidden="1" customHeight="1" x14ac:dyDescent="0.2">
      <c r="B73" s="4" t="s">
        <v>3073</v>
      </c>
      <c r="C73" s="4" t="s">
        <v>878</v>
      </c>
      <c r="D73" s="4" t="s">
        <v>877</v>
      </c>
      <c r="E73" s="4" t="s">
        <v>159</v>
      </c>
      <c r="F73" s="4" t="s">
        <v>3135</v>
      </c>
      <c r="G73" s="20" t="s">
        <v>11</v>
      </c>
      <c r="H73" s="6" t="s">
        <v>11</v>
      </c>
      <c r="I73" s="5" t="s">
        <v>3088</v>
      </c>
      <c r="J73" s="5" t="s">
        <v>2719</v>
      </c>
      <c r="K73" s="5" t="s">
        <v>0</v>
      </c>
    </row>
    <row r="74" spans="2:11" ht="15.75" hidden="1" customHeight="1" x14ac:dyDescent="0.2">
      <c r="B74" s="4" t="s">
        <v>3073</v>
      </c>
      <c r="C74" s="4" t="s">
        <v>594</v>
      </c>
      <c r="D74" s="4" t="s">
        <v>66</v>
      </c>
      <c r="E74" s="5" t="s">
        <v>5</v>
      </c>
      <c r="F74" s="4" t="s">
        <v>3134</v>
      </c>
      <c r="G74" s="14" t="s">
        <v>348</v>
      </c>
      <c r="H74" s="6" t="s">
        <v>11</v>
      </c>
      <c r="I74" s="5" t="s">
        <v>10</v>
      </c>
      <c r="J74" s="5" t="s">
        <v>2719</v>
      </c>
      <c r="K74" s="5" t="s">
        <v>0</v>
      </c>
    </row>
    <row r="75" spans="2:11" ht="15.75" hidden="1" customHeight="1" x14ac:dyDescent="0.2">
      <c r="B75" s="4" t="s">
        <v>3073</v>
      </c>
      <c r="C75" s="4" t="s">
        <v>228</v>
      </c>
      <c r="D75" s="4" t="s">
        <v>36</v>
      </c>
      <c r="E75" s="4" t="s">
        <v>23</v>
      </c>
      <c r="F75" s="4" t="s">
        <v>3133</v>
      </c>
      <c r="G75" s="20" t="s">
        <v>3</v>
      </c>
      <c r="H75" s="6" t="s">
        <v>3</v>
      </c>
      <c r="I75" s="5" t="s">
        <v>3088</v>
      </c>
      <c r="J75" s="5" t="s">
        <v>3078</v>
      </c>
      <c r="K75" s="5" t="s">
        <v>0</v>
      </c>
    </row>
    <row r="76" spans="2:11" ht="15.75" hidden="1" customHeight="1" x14ac:dyDescent="0.2">
      <c r="B76" s="4" t="s">
        <v>3073</v>
      </c>
      <c r="C76" s="4" t="s">
        <v>408</v>
      </c>
      <c r="D76" s="4" t="s">
        <v>28</v>
      </c>
      <c r="E76" s="4" t="s">
        <v>5</v>
      </c>
      <c r="F76" s="4" t="s">
        <v>3132</v>
      </c>
      <c r="G76" s="6" t="s">
        <v>2625</v>
      </c>
      <c r="H76" s="6" t="s">
        <v>272</v>
      </c>
      <c r="I76" s="5" t="s">
        <v>3088</v>
      </c>
      <c r="J76" s="5" t="s">
        <v>2719</v>
      </c>
      <c r="K76" s="5" t="s">
        <v>0</v>
      </c>
    </row>
    <row r="77" spans="2:11" ht="15.75" hidden="1" customHeight="1" x14ac:dyDescent="0.2">
      <c r="B77" s="4" t="s">
        <v>3073</v>
      </c>
      <c r="C77" s="4" t="s">
        <v>104</v>
      </c>
      <c r="D77" s="4" t="s">
        <v>18</v>
      </c>
      <c r="E77" s="4" t="s">
        <v>81</v>
      </c>
      <c r="F77" s="4" t="s">
        <v>3131</v>
      </c>
      <c r="G77" s="20" t="s">
        <v>3</v>
      </c>
      <c r="H77" s="6" t="s">
        <v>3</v>
      </c>
      <c r="I77" s="5" t="s">
        <v>3088</v>
      </c>
      <c r="J77" s="5" t="s">
        <v>3078</v>
      </c>
      <c r="K77" s="5" t="s">
        <v>0</v>
      </c>
    </row>
    <row r="78" spans="2:11" ht="15.75" hidden="1" customHeight="1" x14ac:dyDescent="0.2">
      <c r="B78" s="4" t="s">
        <v>3073</v>
      </c>
      <c r="C78" s="4" t="s">
        <v>130</v>
      </c>
      <c r="D78" s="4" t="s">
        <v>77</v>
      </c>
      <c r="E78" s="4" t="s">
        <v>27</v>
      </c>
      <c r="F78" s="4" t="s">
        <v>3130</v>
      </c>
      <c r="G78" s="20" t="s">
        <v>3</v>
      </c>
      <c r="H78" s="6" t="s">
        <v>3</v>
      </c>
      <c r="I78" s="5" t="s">
        <v>3088</v>
      </c>
      <c r="J78" s="5" t="s">
        <v>3071</v>
      </c>
      <c r="K78" s="5" t="s">
        <v>0</v>
      </c>
    </row>
    <row r="79" spans="2:11" ht="15.75" hidden="1" customHeight="1" x14ac:dyDescent="0.2">
      <c r="B79" s="4" t="s">
        <v>3073</v>
      </c>
      <c r="C79" s="4" t="s">
        <v>139</v>
      </c>
      <c r="D79" s="4" t="s">
        <v>18</v>
      </c>
      <c r="E79" s="4" t="s">
        <v>5</v>
      </c>
      <c r="F79" s="4" t="s">
        <v>3129</v>
      </c>
      <c r="G79" s="20" t="s">
        <v>3</v>
      </c>
      <c r="H79" s="6" t="s">
        <v>3</v>
      </c>
      <c r="I79" s="5" t="s">
        <v>3088</v>
      </c>
      <c r="J79" s="5" t="s">
        <v>3078</v>
      </c>
      <c r="K79" s="5" t="s">
        <v>0</v>
      </c>
    </row>
    <row r="80" spans="2:11" ht="15.75" hidden="1" customHeight="1" x14ac:dyDescent="0.2">
      <c r="B80" s="4" t="s">
        <v>3073</v>
      </c>
      <c r="C80" s="4" t="s">
        <v>181</v>
      </c>
      <c r="D80" s="4" t="s">
        <v>42</v>
      </c>
      <c r="E80" s="4" t="s">
        <v>81</v>
      </c>
      <c r="F80" s="4" t="s">
        <v>3128</v>
      </c>
      <c r="G80" s="23" t="s">
        <v>3</v>
      </c>
      <c r="H80" s="6" t="s">
        <v>3</v>
      </c>
      <c r="I80" s="5" t="s">
        <v>3088</v>
      </c>
      <c r="J80" s="5" t="s">
        <v>3078</v>
      </c>
      <c r="K80" s="5" t="s">
        <v>0</v>
      </c>
    </row>
    <row r="81" spans="2:11" ht="15.75" hidden="1" customHeight="1" x14ac:dyDescent="0.2">
      <c r="B81" s="4" t="s">
        <v>3073</v>
      </c>
      <c r="C81" s="4" t="s">
        <v>1473</v>
      </c>
      <c r="D81" s="4" t="s">
        <v>94</v>
      </c>
      <c r="E81" s="4" t="s">
        <v>5</v>
      </c>
      <c r="F81" s="4" t="s">
        <v>3127</v>
      </c>
      <c r="G81" s="23" t="s">
        <v>11</v>
      </c>
      <c r="H81" s="6" t="s">
        <v>11</v>
      </c>
      <c r="I81" s="5" t="s">
        <v>3088</v>
      </c>
      <c r="J81" s="5" t="s">
        <v>3071</v>
      </c>
      <c r="K81" s="5" t="s">
        <v>0</v>
      </c>
    </row>
    <row r="82" spans="2:11" ht="15.75" hidden="1" customHeight="1" x14ac:dyDescent="0.2">
      <c r="B82" s="4" t="s">
        <v>3073</v>
      </c>
      <c r="C82" s="4" t="s">
        <v>53</v>
      </c>
      <c r="D82" s="4" t="s">
        <v>210</v>
      </c>
      <c r="E82" s="4" t="s">
        <v>5</v>
      </c>
      <c r="F82" s="4" t="s">
        <v>3126</v>
      </c>
      <c r="G82" s="23" t="s">
        <v>3</v>
      </c>
      <c r="H82" s="6" t="s">
        <v>3</v>
      </c>
      <c r="I82" s="5" t="s">
        <v>3088</v>
      </c>
      <c r="J82" s="5" t="s">
        <v>2719</v>
      </c>
      <c r="K82" s="5" t="s">
        <v>0</v>
      </c>
    </row>
    <row r="83" spans="2:11" ht="15.75" hidden="1" customHeight="1" x14ac:dyDescent="0.2">
      <c r="B83" s="4" t="s">
        <v>3073</v>
      </c>
      <c r="C83" s="4" t="s">
        <v>228</v>
      </c>
      <c r="D83" s="4" t="s">
        <v>36</v>
      </c>
      <c r="E83" s="4" t="s">
        <v>159</v>
      </c>
      <c r="F83" s="4" t="s">
        <v>3125</v>
      </c>
      <c r="G83" s="4" t="s">
        <v>273</v>
      </c>
      <c r="H83" s="6" t="s">
        <v>272</v>
      </c>
      <c r="I83" s="5" t="s">
        <v>3088</v>
      </c>
      <c r="J83" s="5" t="s">
        <v>2719</v>
      </c>
      <c r="K83" s="5" t="s">
        <v>0</v>
      </c>
    </row>
    <row r="84" spans="2:11" ht="15.75" hidden="1" customHeight="1" x14ac:dyDescent="0.2">
      <c r="B84" s="4" t="s">
        <v>3073</v>
      </c>
      <c r="C84" s="4" t="s">
        <v>181</v>
      </c>
      <c r="D84" s="4" t="s">
        <v>42</v>
      </c>
      <c r="E84" s="4" t="s">
        <v>81</v>
      </c>
      <c r="F84" s="4" t="s">
        <v>3124</v>
      </c>
      <c r="G84" s="20" t="s">
        <v>3</v>
      </c>
      <c r="H84" s="6" t="s">
        <v>3</v>
      </c>
      <c r="I84" s="5" t="s">
        <v>3088</v>
      </c>
      <c r="J84" s="5" t="s">
        <v>3071</v>
      </c>
      <c r="K84" s="5" t="s">
        <v>0</v>
      </c>
    </row>
    <row r="85" spans="2:11" ht="15.75" hidden="1" customHeight="1" x14ac:dyDescent="0.2">
      <c r="B85" s="4" t="s">
        <v>3073</v>
      </c>
      <c r="C85" s="4" t="s">
        <v>271</v>
      </c>
      <c r="D85" s="4" t="s">
        <v>94</v>
      </c>
      <c r="E85" s="4" t="s">
        <v>23</v>
      </c>
      <c r="F85" s="4" t="s">
        <v>3123</v>
      </c>
      <c r="G85" s="29" t="s">
        <v>272</v>
      </c>
      <c r="H85" s="6">
        <v>19</v>
      </c>
      <c r="I85" s="5" t="s">
        <v>3088</v>
      </c>
      <c r="J85" s="5" t="s">
        <v>3071</v>
      </c>
      <c r="K85" s="5" t="s">
        <v>0</v>
      </c>
    </row>
    <row r="86" spans="2:11" ht="15.75" hidden="1" customHeight="1" x14ac:dyDescent="0.2">
      <c r="B86" s="4" t="s">
        <v>3073</v>
      </c>
      <c r="C86" s="4" t="s">
        <v>469</v>
      </c>
      <c r="D86" s="4" t="s">
        <v>94</v>
      </c>
      <c r="E86" s="4" t="s">
        <v>159</v>
      </c>
      <c r="F86" s="4" t="s">
        <v>3122</v>
      </c>
      <c r="G86" s="14" t="s">
        <v>3</v>
      </c>
      <c r="H86" s="6" t="s">
        <v>3</v>
      </c>
      <c r="I86" s="5" t="s">
        <v>10</v>
      </c>
      <c r="J86" s="5" t="s">
        <v>3071</v>
      </c>
      <c r="K86" s="5" t="s">
        <v>0</v>
      </c>
    </row>
    <row r="87" spans="2:11" ht="15.75" hidden="1" customHeight="1" x14ac:dyDescent="0.2">
      <c r="B87" s="4" t="s">
        <v>3073</v>
      </c>
      <c r="C87" s="4" t="s">
        <v>3121</v>
      </c>
      <c r="D87" s="4" t="s">
        <v>24</v>
      </c>
      <c r="E87" s="4" t="s">
        <v>23</v>
      </c>
      <c r="F87" s="4" t="s">
        <v>3120</v>
      </c>
      <c r="G87" s="20" t="s">
        <v>3</v>
      </c>
      <c r="H87" s="6" t="s">
        <v>3</v>
      </c>
      <c r="I87" s="5" t="s">
        <v>3088</v>
      </c>
      <c r="J87" s="5" t="s">
        <v>3071</v>
      </c>
      <c r="K87" s="5" t="s">
        <v>0</v>
      </c>
    </row>
    <row r="88" spans="2:11" ht="15.75" hidden="1" customHeight="1" x14ac:dyDescent="0.2">
      <c r="B88" s="4" t="s">
        <v>3073</v>
      </c>
      <c r="C88" s="4" t="s">
        <v>111</v>
      </c>
      <c r="D88" s="4" t="s">
        <v>24</v>
      </c>
      <c r="E88" s="4" t="s">
        <v>5</v>
      </c>
      <c r="F88" s="4" t="s">
        <v>3119</v>
      </c>
      <c r="G88" s="23" t="s">
        <v>11</v>
      </c>
      <c r="H88" s="6" t="s">
        <v>11</v>
      </c>
      <c r="I88" s="5" t="s">
        <v>3088</v>
      </c>
      <c r="J88" s="5" t="s">
        <v>2719</v>
      </c>
      <c r="K88" s="5" t="s">
        <v>0</v>
      </c>
    </row>
    <row r="89" spans="2:11" ht="15.75" hidden="1" customHeight="1" x14ac:dyDescent="0.2">
      <c r="B89" s="4" t="s">
        <v>3073</v>
      </c>
      <c r="C89" s="4" t="s">
        <v>111</v>
      </c>
      <c r="D89" s="4" t="s">
        <v>24</v>
      </c>
      <c r="E89" s="4" t="s">
        <v>27</v>
      </c>
      <c r="F89" s="4" t="s">
        <v>3118</v>
      </c>
      <c r="G89" s="20" t="s">
        <v>3</v>
      </c>
      <c r="H89" s="6" t="s">
        <v>3</v>
      </c>
      <c r="I89" s="5" t="s">
        <v>3088</v>
      </c>
      <c r="J89" s="5" t="s">
        <v>3071</v>
      </c>
      <c r="K89" s="5" t="s">
        <v>0</v>
      </c>
    </row>
    <row r="90" spans="2:11" ht="15.75" hidden="1" customHeight="1" x14ac:dyDescent="0.2">
      <c r="B90" s="4" t="s">
        <v>3073</v>
      </c>
      <c r="C90" s="4" t="s">
        <v>3117</v>
      </c>
      <c r="D90" s="4" t="s">
        <v>24</v>
      </c>
      <c r="E90" s="4" t="s">
        <v>27</v>
      </c>
      <c r="F90" s="4" t="s">
        <v>3116</v>
      </c>
      <c r="G90" s="20" t="s">
        <v>3</v>
      </c>
      <c r="H90" s="6" t="s">
        <v>3</v>
      </c>
      <c r="I90" s="5" t="s">
        <v>3088</v>
      </c>
      <c r="J90" s="5" t="s">
        <v>3078</v>
      </c>
      <c r="K90" s="5" t="s">
        <v>0</v>
      </c>
    </row>
    <row r="91" spans="2:11" ht="15.75" hidden="1" customHeight="1" x14ac:dyDescent="0.2">
      <c r="B91" s="4" t="s">
        <v>3073</v>
      </c>
      <c r="C91" s="4" t="s">
        <v>3115</v>
      </c>
      <c r="D91" s="4" t="s">
        <v>97</v>
      </c>
      <c r="E91" s="4" t="s">
        <v>5</v>
      </c>
      <c r="F91" s="4" t="s">
        <v>3114</v>
      </c>
      <c r="G91" s="20" t="s">
        <v>11</v>
      </c>
      <c r="H91" s="6" t="s">
        <v>11</v>
      </c>
      <c r="I91" s="5" t="s">
        <v>3088</v>
      </c>
      <c r="J91" s="5" t="s">
        <v>2719</v>
      </c>
      <c r="K91" s="5" t="s">
        <v>955</v>
      </c>
    </row>
    <row r="92" spans="2:11" ht="15.75" hidden="1" customHeight="1" x14ac:dyDescent="0.2">
      <c r="B92" s="4" t="s">
        <v>3073</v>
      </c>
      <c r="C92" s="4" t="s">
        <v>181</v>
      </c>
      <c r="D92" s="5" t="s">
        <v>42</v>
      </c>
      <c r="E92" s="5" t="s">
        <v>27</v>
      </c>
      <c r="F92" s="4" t="s">
        <v>3113</v>
      </c>
      <c r="G92" s="14" t="s">
        <v>3</v>
      </c>
      <c r="H92" s="6" t="s">
        <v>3</v>
      </c>
      <c r="I92" s="5" t="s">
        <v>10</v>
      </c>
      <c r="J92" s="5" t="s">
        <v>3078</v>
      </c>
      <c r="K92" s="5" t="s">
        <v>0</v>
      </c>
    </row>
    <row r="93" spans="2:11" ht="15.75" hidden="1" customHeight="1" x14ac:dyDescent="0.2">
      <c r="B93" s="4" t="s">
        <v>3073</v>
      </c>
      <c r="C93" s="4" t="s">
        <v>3112</v>
      </c>
      <c r="D93" s="4" t="s">
        <v>36</v>
      </c>
      <c r="E93" s="4" t="s">
        <v>23</v>
      </c>
      <c r="F93" s="4" t="s">
        <v>3111</v>
      </c>
      <c r="G93" s="19" t="s">
        <v>11</v>
      </c>
      <c r="H93" s="6" t="s">
        <v>11</v>
      </c>
      <c r="I93" s="5" t="s">
        <v>3088</v>
      </c>
      <c r="J93" s="5" t="s">
        <v>3078</v>
      </c>
      <c r="K93" s="5" t="s">
        <v>0</v>
      </c>
    </row>
    <row r="94" spans="2:11" ht="15.75" hidden="1" customHeight="1" x14ac:dyDescent="0.2">
      <c r="B94" s="4" t="s">
        <v>3073</v>
      </c>
      <c r="C94" s="4" t="s">
        <v>3110</v>
      </c>
      <c r="D94" s="4" t="s">
        <v>24</v>
      </c>
      <c r="E94" s="4" t="s">
        <v>27</v>
      </c>
      <c r="F94" s="4" t="s">
        <v>3109</v>
      </c>
      <c r="G94" s="20" t="s">
        <v>3</v>
      </c>
      <c r="H94" s="6" t="s">
        <v>3</v>
      </c>
      <c r="I94" s="5" t="s">
        <v>3088</v>
      </c>
      <c r="J94" s="5" t="s">
        <v>3078</v>
      </c>
      <c r="K94" s="5" t="s">
        <v>0</v>
      </c>
    </row>
    <row r="95" spans="2:11" ht="15.75" hidden="1" customHeight="1" x14ac:dyDescent="0.2">
      <c r="B95" s="4" t="s">
        <v>3073</v>
      </c>
      <c r="C95" s="4" t="s">
        <v>139</v>
      </c>
      <c r="D95" s="4" t="s">
        <v>18</v>
      </c>
      <c r="E95" s="4" t="s">
        <v>159</v>
      </c>
      <c r="F95" s="4" t="s">
        <v>3108</v>
      </c>
      <c r="G95" s="19" t="s">
        <v>3</v>
      </c>
      <c r="H95" s="6" t="s">
        <v>3</v>
      </c>
      <c r="I95" s="5" t="s">
        <v>3088</v>
      </c>
      <c r="J95" s="5" t="s">
        <v>3078</v>
      </c>
      <c r="K95" s="5" t="s">
        <v>0</v>
      </c>
    </row>
    <row r="96" spans="2:11" ht="15.75" hidden="1" customHeight="1" x14ac:dyDescent="0.2">
      <c r="B96" s="4" t="s">
        <v>3073</v>
      </c>
      <c r="C96" s="4" t="s">
        <v>228</v>
      </c>
      <c r="D96" s="4" t="s">
        <v>36</v>
      </c>
      <c r="E96" s="4" t="s">
        <v>5</v>
      </c>
      <c r="F96" s="4" t="s">
        <v>3107</v>
      </c>
      <c r="G96" s="4" t="s">
        <v>329</v>
      </c>
      <c r="H96" s="6" t="s">
        <v>272</v>
      </c>
      <c r="I96" s="5" t="s">
        <v>3088</v>
      </c>
      <c r="J96" s="5" t="s">
        <v>3078</v>
      </c>
      <c r="K96" s="5" t="s">
        <v>0</v>
      </c>
    </row>
    <row r="97" spans="2:11" ht="15.75" hidden="1" customHeight="1" x14ac:dyDescent="0.2">
      <c r="B97" s="4" t="s">
        <v>3073</v>
      </c>
      <c r="C97" s="4" t="s">
        <v>3106</v>
      </c>
      <c r="D97" s="4" t="s">
        <v>24</v>
      </c>
      <c r="E97" s="4" t="s">
        <v>27</v>
      </c>
      <c r="F97" s="4" t="s">
        <v>3105</v>
      </c>
      <c r="G97" s="14" t="s">
        <v>3</v>
      </c>
      <c r="H97" s="6" t="s">
        <v>3</v>
      </c>
      <c r="I97" s="5" t="s">
        <v>3088</v>
      </c>
      <c r="J97" s="5" t="s">
        <v>3078</v>
      </c>
      <c r="K97" s="5" t="s">
        <v>0</v>
      </c>
    </row>
    <row r="98" spans="2:11" ht="15.75" hidden="1" customHeight="1" x14ac:dyDescent="0.2">
      <c r="B98" s="4" t="s">
        <v>3073</v>
      </c>
      <c r="C98" s="4" t="s">
        <v>3104</v>
      </c>
      <c r="D98" s="4" t="s">
        <v>36</v>
      </c>
      <c r="E98" s="4" t="s">
        <v>55</v>
      </c>
      <c r="F98" s="4" t="s">
        <v>3103</v>
      </c>
      <c r="G98" s="4" t="s">
        <v>273</v>
      </c>
      <c r="H98" s="6" t="s">
        <v>272</v>
      </c>
      <c r="I98" s="5" t="s">
        <v>3088</v>
      </c>
      <c r="J98" s="5" t="s">
        <v>3078</v>
      </c>
      <c r="K98" s="5" t="s">
        <v>0</v>
      </c>
    </row>
    <row r="99" spans="2:11" ht="15.75" hidden="1" customHeight="1" x14ac:dyDescent="0.2">
      <c r="B99" s="4" t="s">
        <v>3073</v>
      </c>
      <c r="C99" s="5" t="s">
        <v>401</v>
      </c>
      <c r="D99" s="5" t="s">
        <v>71</v>
      </c>
      <c r="E99" s="5" t="s">
        <v>5</v>
      </c>
      <c r="F99" s="4" t="s">
        <v>3102</v>
      </c>
      <c r="G99" s="14" t="s">
        <v>11</v>
      </c>
      <c r="H99" s="6" t="s">
        <v>11</v>
      </c>
      <c r="I99" s="5" t="s">
        <v>10</v>
      </c>
      <c r="J99" s="5" t="s">
        <v>2719</v>
      </c>
      <c r="K99" s="5" t="s">
        <v>0</v>
      </c>
    </row>
    <row r="100" spans="2:11" ht="15.75" hidden="1" customHeight="1" x14ac:dyDescent="0.2">
      <c r="B100" s="4" t="s">
        <v>3073</v>
      </c>
      <c r="C100" s="4" t="s">
        <v>111</v>
      </c>
      <c r="D100" s="4" t="s">
        <v>24</v>
      </c>
      <c r="E100" s="4" t="s">
        <v>5</v>
      </c>
      <c r="F100" s="4" t="s">
        <v>3101</v>
      </c>
      <c r="G100" s="23" t="s">
        <v>11</v>
      </c>
      <c r="H100" s="6" t="s">
        <v>11</v>
      </c>
      <c r="I100" s="5" t="s">
        <v>3088</v>
      </c>
      <c r="J100" s="5" t="s">
        <v>3078</v>
      </c>
      <c r="K100" s="5" t="s">
        <v>0</v>
      </c>
    </row>
    <row r="101" spans="2:11" ht="15.75" hidden="1" customHeight="1" x14ac:dyDescent="0.2">
      <c r="B101" s="4" t="s">
        <v>3073</v>
      </c>
      <c r="C101" s="4" t="s">
        <v>1566</v>
      </c>
      <c r="D101" s="4" t="s">
        <v>267</v>
      </c>
      <c r="E101" s="4" t="s">
        <v>23</v>
      </c>
      <c r="F101" s="4" t="s">
        <v>3100</v>
      </c>
      <c r="G101" s="14" t="s">
        <v>3</v>
      </c>
      <c r="H101" s="6" t="s">
        <v>3</v>
      </c>
      <c r="I101" s="5" t="s">
        <v>3088</v>
      </c>
      <c r="J101" s="5" t="s">
        <v>3078</v>
      </c>
      <c r="K101" s="5" t="s">
        <v>0</v>
      </c>
    </row>
    <row r="102" spans="2:11" ht="15.75" hidden="1" customHeight="1" x14ac:dyDescent="0.2">
      <c r="B102" s="4" t="s">
        <v>3073</v>
      </c>
      <c r="C102" s="4" t="s">
        <v>460</v>
      </c>
      <c r="D102" s="4" t="s">
        <v>13</v>
      </c>
      <c r="E102" s="4" t="s">
        <v>159</v>
      </c>
      <c r="F102" s="4" t="s">
        <v>3099</v>
      </c>
      <c r="G102" s="20" t="s">
        <v>3</v>
      </c>
      <c r="H102" s="6" t="s">
        <v>3</v>
      </c>
      <c r="I102" s="5" t="s">
        <v>3088</v>
      </c>
      <c r="J102" s="5" t="s">
        <v>3078</v>
      </c>
      <c r="K102" s="5" t="s">
        <v>217</v>
      </c>
    </row>
    <row r="103" spans="2:11" ht="15.75" hidden="1" customHeight="1" x14ac:dyDescent="0.2">
      <c r="B103" s="4" t="s">
        <v>3073</v>
      </c>
      <c r="C103" s="5" t="s">
        <v>150</v>
      </c>
      <c r="D103" s="5" t="s">
        <v>150</v>
      </c>
      <c r="E103" s="5" t="s">
        <v>5</v>
      </c>
      <c r="F103" s="4" t="s">
        <v>3098</v>
      </c>
      <c r="G103" s="14" t="s">
        <v>11</v>
      </c>
      <c r="H103" s="6" t="s">
        <v>11</v>
      </c>
      <c r="I103" s="5" t="s">
        <v>10</v>
      </c>
      <c r="J103" s="5" t="s">
        <v>2719</v>
      </c>
      <c r="K103" s="5" t="s">
        <v>0</v>
      </c>
    </row>
    <row r="104" spans="2:11" ht="15.75" hidden="1" customHeight="1" x14ac:dyDescent="0.2">
      <c r="B104" s="4" t="s">
        <v>3073</v>
      </c>
      <c r="C104" s="4" t="s">
        <v>3097</v>
      </c>
      <c r="D104" s="4" t="s">
        <v>18</v>
      </c>
      <c r="E104" s="4" t="s">
        <v>27</v>
      </c>
      <c r="F104" s="4" t="s">
        <v>3096</v>
      </c>
      <c r="G104" s="20" t="s">
        <v>3</v>
      </c>
      <c r="H104" s="6" t="s">
        <v>3</v>
      </c>
      <c r="I104" s="5" t="s">
        <v>3088</v>
      </c>
      <c r="J104" s="5" t="s">
        <v>3078</v>
      </c>
      <c r="K104" s="5" t="s">
        <v>0</v>
      </c>
    </row>
    <row r="105" spans="2:11" ht="15.75" hidden="1" customHeight="1" x14ac:dyDescent="0.2">
      <c r="B105" s="4" t="s">
        <v>3073</v>
      </c>
      <c r="C105" s="4" t="s">
        <v>3095</v>
      </c>
      <c r="D105" s="4" t="s">
        <v>267</v>
      </c>
      <c r="E105" s="4" t="s">
        <v>23</v>
      </c>
      <c r="F105" s="4" t="s">
        <v>3094</v>
      </c>
      <c r="G105" s="14" t="s">
        <v>3093</v>
      </c>
      <c r="H105" s="6" t="s">
        <v>3</v>
      </c>
      <c r="I105" s="5" t="s">
        <v>10</v>
      </c>
      <c r="J105" s="5" t="s">
        <v>3071</v>
      </c>
      <c r="K105" s="5" t="s">
        <v>0</v>
      </c>
    </row>
    <row r="106" spans="2:11" ht="15.75" hidden="1" customHeight="1" x14ac:dyDescent="0.2">
      <c r="B106" s="4" t="s">
        <v>3073</v>
      </c>
      <c r="C106" s="5" t="s">
        <v>48</v>
      </c>
      <c r="D106" s="5" t="s">
        <v>47</v>
      </c>
      <c r="E106" s="5" t="s">
        <v>5</v>
      </c>
      <c r="F106" s="4" t="s">
        <v>3092</v>
      </c>
      <c r="G106" s="14" t="s">
        <v>11</v>
      </c>
      <c r="H106" s="6" t="s">
        <v>11</v>
      </c>
      <c r="I106" s="5" t="s">
        <v>10</v>
      </c>
      <c r="J106" s="5" t="s">
        <v>3071</v>
      </c>
      <c r="K106" s="5" t="s">
        <v>0</v>
      </c>
    </row>
    <row r="107" spans="2:11" ht="15.75" hidden="1" customHeight="1" x14ac:dyDescent="0.2">
      <c r="B107" s="4" t="s">
        <v>3073</v>
      </c>
      <c r="C107" s="4" t="s">
        <v>111</v>
      </c>
      <c r="D107" s="4" t="s">
        <v>24</v>
      </c>
      <c r="E107" s="4" t="s">
        <v>81</v>
      </c>
      <c r="F107" s="4" t="s">
        <v>3091</v>
      </c>
      <c r="G107" s="20" t="s">
        <v>3</v>
      </c>
      <c r="H107" s="6" t="s">
        <v>3</v>
      </c>
      <c r="I107" s="5" t="s">
        <v>3088</v>
      </c>
      <c r="J107" s="5" t="s">
        <v>3078</v>
      </c>
      <c r="K107" s="5" t="s">
        <v>0</v>
      </c>
    </row>
    <row r="108" spans="2:11" ht="15.75" hidden="1" customHeight="1" x14ac:dyDescent="0.2">
      <c r="B108" s="4" t="s">
        <v>3073</v>
      </c>
      <c r="C108" s="4" t="s">
        <v>3090</v>
      </c>
      <c r="D108" s="4" t="s">
        <v>18</v>
      </c>
      <c r="E108" s="4" t="s">
        <v>27</v>
      </c>
      <c r="F108" s="4" t="s">
        <v>3089</v>
      </c>
      <c r="G108" s="20" t="s">
        <v>348</v>
      </c>
      <c r="H108" s="6" t="s">
        <v>11</v>
      </c>
      <c r="I108" s="5" t="s">
        <v>3088</v>
      </c>
      <c r="J108" s="5" t="s">
        <v>3071</v>
      </c>
      <c r="K108" s="5" t="s">
        <v>0</v>
      </c>
    </row>
    <row r="109" spans="2:11" ht="15.75" hidden="1" customHeight="1" x14ac:dyDescent="0.2">
      <c r="B109" s="4" t="s">
        <v>3073</v>
      </c>
      <c r="C109" s="4" t="s">
        <v>89</v>
      </c>
      <c r="D109" s="4" t="s">
        <v>88</v>
      </c>
      <c r="E109" s="5" t="s">
        <v>27</v>
      </c>
      <c r="F109" s="4" t="s">
        <v>3087</v>
      </c>
      <c r="G109" s="23" t="s">
        <v>3</v>
      </c>
      <c r="H109" s="6" t="s">
        <v>3</v>
      </c>
      <c r="I109" s="5" t="s">
        <v>10</v>
      </c>
      <c r="J109" s="5" t="s">
        <v>3078</v>
      </c>
      <c r="K109" s="5" t="s">
        <v>0</v>
      </c>
    </row>
    <row r="110" spans="2:11" ht="15.75" hidden="1" customHeight="1" x14ac:dyDescent="0.2">
      <c r="B110" s="4" t="s">
        <v>3073</v>
      </c>
      <c r="C110" s="6" t="s">
        <v>150</v>
      </c>
      <c r="D110" s="6" t="s">
        <v>150</v>
      </c>
      <c r="E110" s="4" t="s">
        <v>159</v>
      </c>
      <c r="F110" s="4" t="s">
        <v>3086</v>
      </c>
      <c r="G110" s="14" t="s">
        <v>11</v>
      </c>
      <c r="H110" s="6" t="s">
        <v>11</v>
      </c>
      <c r="I110" s="5" t="s">
        <v>10</v>
      </c>
      <c r="J110" s="5" t="s">
        <v>2719</v>
      </c>
      <c r="K110" s="5" t="s">
        <v>0</v>
      </c>
    </row>
    <row r="111" spans="2:11" ht="15.75" hidden="1" customHeight="1" x14ac:dyDescent="0.2">
      <c r="B111" s="4" t="s">
        <v>3073</v>
      </c>
      <c r="C111" s="5" t="s">
        <v>71</v>
      </c>
      <c r="D111" s="5" t="s">
        <v>71</v>
      </c>
      <c r="E111" s="5" t="s">
        <v>5</v>
      </c>
      <c r="F111" s="4" t="s">
        <v>3085</v>
      </c>
      <c r="G111" s="14" t="s">
        <v>11</v>
      </c>
      <c r="H111" s="6" t="s">
        <v>11</v>
      </c>
      <c r="I111" s="5" t="s">
        <v>10</v>
      </c>
      <c r="J111" s="5" t="s">
        <v>2719</v>
      </c>
      <c r="K111" s="5" t="s">
        <v>0</v>
      </c>
    </row>
    <row r="112" spans="2:11" ht="15.75" hidden="1" customHeight="1" x14ac:dyDescent="0.2">
      <c r="B112" s="4" t="s">
        <v>3073</v>
      </c>
      <c r="C112" s="4" t="s">
        <v>132</v>
      </c>
      <c r="D112" s="4" t="s">
        <v>97</v>
      </c>
      <c r="E112" s="4" t="s">
        <v>5</v>
      </c>
      <c r="F112" s="4" t="s">
        <v>3084</v>
      </c>
      <c r="G112" s="20" t="s">
        <v>11</v>
      </c>
      <c r="H112" s="6" t="s">
        <v>11</v>
      </c>
      <c r="I112" s="5" t="s">
        <v>10</v>
      </c>
      <c r="J112" s="5" t="s">
        <v>2719</v>
      </c>
      <c r="K112" s="5" t="s">
        <v>0</v>
      </c>
    </row>
    <row r="113" spans="2:11" ht="15.75" hidden="1" customHeight="1" x14ac:dyDescent="0.2">
      <c r="B113" s="4" t="s">
        <v>3073</v>
      </c>
      <c r="C113" s="4" t="s">
        <v>104</v>
      </c>
      <c r="D113" s="4" t="s">
        <v>18</v>
      </c>
      <c r="E113" s="4" t="s">
        <v>27</v>
      </c>
      <c r="F113" s="4" t="s">
        <v>3083</v>
      </c>
      <c r="G113" s="20" t="s">
        <v>3</v>
      </c>
      <c r="H113" s="6" t="s">
        <v>3</v>
      </c>
      <c r="I113" s="5" t="s">
        <v>10</v>
      </c>
      <c r="J113" s="5" t="s">
        <v>3078</v>
      </c>
      <c r="K113" s="5" t="s">
        <v>0</v>
      </c>
    </row>
    <row r="114" spans="2:11" ht="15.75" hidden="1" customHeight="1" x14ac:dyDescent="0.2">
      <c r="B114" s="4" t="s">
        <v>3073</v>
      </c>
      <c r="C114" s="4" t="s">
        <v>104</v>
      </c>
      <c r="D114" s="4" t="s">
        <v>18</v>
      </c>
      <c r="E114" s="4" t="s">
        <v>5</v>
      </c>
      <c r="F114" s="4" t="s">
        <v>3082</v>
      </c>
      <c r="G114" s="23" t="s">
        <v>11</v>
      </c>
      <c r="H114" s="6" t="s">
        <v>11</v>
      </c>
      <c r="I114" s="5" t="s">
        <v>2</v>
      </c>
      <c r="J114" s="5" t="s">
        <v>3078</v>
      </c>
      <c r="K114" s="5" t="s">
        <v>0</v>
      </c>
    </row>
    <row r="115" spans="2:11" ht="15.75" hidden="1" customHeight="1" x14ac:dyDescent="0.2">
      <c r="B115" s="4" t="s">
        <v>3073</v>
      </c>
      <c r="C115" s="4" t="s">
        <v>408</v>
      </c>
      <c r="D115" s="4" t="s">
        <v>28</v>
      </c>
      <c r="E115" s="4" t="s">
        <v>159</v>
      </c>
      <c r="F115" s="4" t="s">
        <v>3081</v>
      </c>
      <c r="G115" s="23" t="s">
        <v>11</v>
      </c>
      <c r="H115" s="6" t="s">
        <v>11</v>
      </c>
      <c r="I115" s="5" t="s">
        <v>10</v>
      </c>
      <c r="J115" s="5" t="s">
        <v>3078</v>
      </c>
      <c r="K115" s="5" t="s">
        <v>0</v>
      </c>
    </row>
    <row r="116" spans="2:11" ht="15.75" hidden="1" customHeight="1" x14ac:dyDescent="0.2">
      <c r="B116" s="4" t="s">
        <v>3073</v>
      </c>
      <c r="C116" s="4" t="s">
        <v>150</v>
      </c>
      <c r="D116" s="4" t="s">
        <v>150</v>
      </c>
      <c r="E116" s="4" t="s">
        <v>159</v>
      </c>
      <c r="F116" s="4" t="s">
        <v>3080</v>
      </c>
      <c r="G116" s="23" t="s">
        <v>11</v>
      </c>
      <c r="H116" s="6" t="s">
        <v>11</v>
      </c>
      <c r="I116" s="5" t="s">
        <v>2</v>
      </c>
      <c r="J116" s="5" t="s">
        <v>3078</v>
      </c>
      <c r="K116" s="5" t="s">
        <v>0</v>
      </c>
    </row>
    <row r="117" spans="2:11" ht="15.75" hidden="1" customHeight="1" x14ac:dyDescent="0.2">
      <c r="B117" s="4" t="s">
        <v>3073</v>
      </c>
      <c r="C117" s="4" t="s">
        <v>1395</v>
      </c>
      <c r="D117" s="4" t="s">
        <v>210</v>
      </c>
      <c r="E117" s="4" t="s">
        <v>5</v>
      </c>
      <c r="F117" s="4" t="s">
        <v>3079</v>
      </c>
      <c r="G117" s="23" t="s">
        <v>3</v>
      </c>
      <c r="H117" s="6" t="s">
        <v>3</v>
      </c>
      <c r="I117" s="5" t="s">
        <v>10</v>
      </c>
      <c r="J117" s="5" t="s">
        <v>3078</v>
      </c>
      <c r="K117" s="5" t="s">
        <v>0</v>
      </c>
    </row>
    <row r="118" spans="2:11" ht="15.75" hidden="1" customHeight="1" x14ac:dyDescent="0.2">
      <c r="B118" s="4" t="s">
        <v>3073</v>
      </c>
      <c r="C118" s="4" t="s">
        <v>181</v>
      </c>
      <c r="D118" s="4" t="s">
        <v>42</v>
      </c>
      <c r="E118" s="4" t="s">
        <v>5</v>
      </c>
      <c r="F118" s="4" t="s">
        <v>3077</v>
      </c>
      <c r="G118" s="23" t="s">
        <v>11</v>
      </c>
      <c r="H118" s="6" t="s">
        <v>11</v>
      </c>
      <c r="I118" s="5" t="s">
        <v>10</v>
      </c>
      <c r="J118" s="5" t="s">
        <v>2719</v>
      </c>
      <c r="K118" s="5" t="s">
        <v>0</v>
      </c>
    </row>
    <row r="119" spans="2:11" ht="15.75" hidden="1" customHeight="1" x14ac:dyDescent="0.2">
      <c r="B119" s="4" t="s">
        <v>3073</v>
      </c>
      <c r="C119" s="4" t="s">
        <v>576</v>
      </c>
      <c r="D119" s="4" t="s">
        <v>66</v>
      </c>
      <c r="E119" s="4" t="s">
        <v>23</v>
      </c>
      <c r="F119" s="4" t="s">
        <v>3076</v>
      </c>
      <c r="G119" s="23" t="s">
        <v>11</v>
      </c>
      <c r="H119" s="6" t="s">
        <v>11</v>
      </c>
      <c r="I119" s="5" t="s">
        <v>10</v>
      </c>
      <c r="J119" s="5" t="s">
        <v>3071</v>
      </c>
      <c r="K119" s="5" t="s">
        <v>75</v>
      </c>
    </row>
    <row r="120" spans="2:11" ht="15.75" hidden="1" customHeight="1" x14ac:dyDescent="0.2">
      <c r="B120" s="4" t="s">
        <v>3073</v>
      </c>
      <c r="C120" s="4" t="s">
        <v>228</v>
      </c>
      <c r="D120" s="4" t="s">
        <v>36</v>
      </c>
      <c r="E120" s="4" t="s">
        <v>23</v>
      </c>
      <c r="F120" s="4" t="s">
        <v>3075</v>
      </c>
      <c r="G120" s="23" t="s">
        <v>11</v>
      </c>
      <c r="H120" s="6" t="s">
        <v>11</v>
      </c>
      <c r="I120" s="5" t="s">
        <v>109</v>
      </c>
      <c r="J120" s="5" t="s">
        <v>3071</v>
      </c>
      <c r="K120" s="5" t="s">
        <v>338</v>
      </c>
    </row>
    <row r="121" spans="2:11" ht="15.75" hidden="1" customHeight="1" x14ac:dyDescent="0.2">
      <c r="B121" s="4" t="s">
        <v>3073</v>
      </c>
      <c r="C121" s="5"/>
      <c r="D121" s="5" t="s">
        <v>77</v>
      </c>
      <c r="E121" s="4" t="s">
        <v>5</v>
      </c>
      <c r="F121" s="4" t="s">
        <v>3074</v>
      </c>
      <c r="G121" s="14" t="s">
        <v>11</v>
      </c>
      <c r="H121" s="6" t="s">
        <v>11</v>
      </c>
      <c r="I121" s="5" t="s">
        <v>10</v>
      </c>
      <c r="J121" s="5" t="s">
        <v>3071</v>
      </c>
      <c r="K121" s="5"/>
    </row>
    <row r="122" spans="2:11" ht="15.75" hidden="1" customHeight="1" x14ac:dyDescent="0.2">
      <c r="B122" s="4" t="s">
        <v>3073</v>
      </c>
      <c r="C122" s="4" t="s">
        <v>91</v>
      </c>
      <c r="D122" s="4" t="s">
        <v>42</v>
      </c>
      <c r="E122" s="4" t="s">
        <v>5</v>
      </c>
      <c r="F122" s="4" t="s">
        <v>3072</v>
      </c>
      <c r="G122" s="14" t="s">
        <v>11</v>
      </c>
      <c r="H122" s="6" t="s">
        <v>11</v>
      </c>
      <c r="I122" s="4" t="s">
        <v>10</v>
      </c>
      <c r="J122" s="4" t="s">
        <v>3071</v>
      </c>
      <c r="K122" s="4" t="s">
        <v>0</v>
      </c>
    </row>
    <row r="123" spans="2:11" ht="15.75" hidden="1" customHeight="1" x14ac:dyDescent="0.2">
      <c r="B123" s="4" t="s">
        <v>2523</v>
      </c>
      <c r="C123" s="4" t="s">
        <v>104</v>
      </c>
      <c r="D123" s="4" t="s">
        <v>18</v>
      </c>
      <c r="E123" s="4" t="s">
        <v>5</v>
      </c>
      <c r="F123" s="4" t="s">
        <v>3070</v>
      </c>
      <c r="G123" s="20" t="s">
        <v>348</v>
      </c>
      <c r="H123" s="6" t="s">
        <v>11</v>
      </c>
      <c r="I123" s="5" t="s">
        <v>2</v>
      </c>
      <c r="J123" s="18" t="s">
        <v>3065</v>
      </c>
      <c r="K123" s="5" t="s">
        <v>0</v>
      </c>
    </row>
    <row r="124" spans="2:11" ht="15.75" hidden="1" customHeight="1" x14ac:dyDescent="0.2">
      <c r="B124" s="4" t="s">
        <v>2523</v>
      </c>
      <c r="C124" s="4" t="s">
        <v>2666</v>
      </c>
      <c r="D124" s="4" t="s">
        <v>77</v>
      </c>
      <c r="E124" s="4" t="s">
        <v>27</v>
      </c>
      <c r="F124" s="4" t="s">
        <v>3069</v>
      </c>
      <c r="G124" s="14" t="s">
        <v>348</v>
      </c>
      <c r="H124" s="6" t="s">
        <v>11</v>
      </c>
      <c r="I124" s="5" t="s">
        <v>2</v>
      </c>
      <c r="J124" s="5" t="s">
        <v>1121</v>
      </c>
      <c r="K124" s="5" t="s">
        <v>0</v>
      </c>
    </row>
    <row r="125" spans="2:11" ht="15.75" hidden="1" customHeight="1" x14ac:dyDescent="0.2">
      <c r="B125" s="4" t="s">
        <v>2523</v>
      </c>
      <c r="C125" s="4" t="s">
        <v>574</v>
      </c>
      <c r="D125" s="4" t="s">
        <v>236</v>
      </c>
      <c r="E125" s="4" t="s">
        <v>17</v>
      </c>
      <c r="F125" s="4" t="s">
        <v>3068</v>
      </c>
      <c r="G125" s="14" t="s">
        <v>348</v>
      </c>
      <c r="H125" s="6" t="s">
        <v>11</v>
      </c>
      <c r="I125" s="5" t="s">
        <v>2</v>
      </c>
      <c r="J125" s="5" t="s">
        <v>1121</v>
      </c>
      <c r="K125" s="5" t="s">
        <v>0</v>
      </c>
    </row>
    <row r="126" spans="2:11" ht="15.75" hidden="1" customHeight="1" x14ac:dyDescent="0.2">
      <c r="B126" s="4" t="s">
        <v>2523</v>
      </c>
      <c r="C126" s="5" t="s">
        <v>150</v>
      </c>
      <c r="D126" s="5" t="s">
        <v>150</v>
      </c>
      <c r="E126" s="5" t="s">
        <v>5</v>
      </c>
      <c r="F126" s="4" t="s">
        <v>3067</v>
      </c>
      <c r="G126" s="14" t="s">
        <v>11</v>
      </c>
      <c r="H126" s="6" t="s">
        <v>11</v>
      </c>
      <c r="I126" s="5" t="s">
        <v>2</v>
      </c>
      <c r="J126" s="5" t="s">
        <v>1121</v>
      </c>
      <c r="K126" s="5" t="s">
        <v>0</v>
      </c>
    </row>
    <row r="127" spans="2:11" ht="15.75" hidden="1" customHeight="1" x14ac:dyDescent="0.2">
      <c r="B127" s="4" t="s">
        <v>2523</v>
      </c>
      <c r="C127" s="4" t="s">
        <v>104</v>
      </c>
      <c r="D127" s="4" t="s">
        <v>18</v>
      </c>
      <c r="E127" s="4" t="s">
        <v>23</v>
      </c>
      <c r="F127" s="4" t="s">
        <v>3066</v>
      </c>
      <c r="G127" s="14" t="s">
        <v>3</v>
      </c>
      <c r="H127" s="6" t="s">
        <v>3</v>
      </c>
      <c r="I127" s="5" t="s">
        <v>2</v>
      </c>
      <c r="J127" s="18" t="s">
        <v>3065</v>
      </c>
      <c r="K127" s="5"/>
    </row>
    <row r="128" spans="2:11" ht="15.75" hidden="1" customHeight="1" x14ac:dyDescent="0.2">
      <c r="B128" s="4" t="s">
        <v>2523</v>
      </c>
      <c r="C128" s="4" t="s">
        <v>3064</v>
      </c>
      <c r="D128" s="4" t="s">
        <v>236</v>
      </c>
      <c r="E128" s="4" t="s">
        <v>5</v>
      </c>
      <c r="F128" s="4" t="s">
        <v>3063</v>
      </c>
      <c r="G128" s="14" t="s">
        <v>348</v>
      </c>
      <c r="H128" s="6" t="s">
        <v>11</v>
      </c>
      <c r="I128" s="5" t="s">
        <v>2</v>
      </c>
      <c r="J128" s="5" t="s">
        <v>1121</v>
      </c>
      <c r="K128" s="5" t="s">
        <v>0</v>
      </c>
    </row>
    <row r="129" spans="2:11" ht="15.75" hidden="1" customHeight="1" x14ac:dyDescent="0.2">
      <c r="B129" s="4" t="s">
        <v>2523</v>
      </c>
      <c r="C129" s="4" t="s">
        <v>130</v>
      </c>
      <c r="D129" s="4" t="s">
        <v>77</v>
      </c>
      <c r="E129" s="4" t="s">
        <v>5</v>
      </c>
      <c r="F129" s="4" t="s">
        <v>3062</v>
      </c>
      <c r="G129" s="14" t="s">
        <v>348</v>
      </c>
      <c r="H129" s="6" t="s">
        <v>11</v>
      </c>
      <c r="I129" s="5" t="s">
        <v>2</v>
      </c>
      <c r="J129" s="5" t="s">
        <v>1121</v>
      </c>
      <c r="K129" s="5" t="s">
        <v>0</v>
      </c>
    </row>
    <row r="130" spans="2:11" ht="15.75" hidden="1" customHeight="1" x14ac:dyDescent="0.2">
      <c r="B130" s="4" t="s">
        <v>2523</v>
      </c>
      <c r="C130" s="4" t="s">
        <v>3061</v>
      </c>
      <c r="D130" s="4" t="s">
        <v>236</v>
      </c>
      <c r="E130" s="4" t="s">
        <v>5</v>
      </c>
      <c r="F130" s="4" t="s">
        <v>3060</v>
      </c>
      <c r="G130" s="14" t="s">
        <v>348</v>
      </c>
      <c r="H130" s="6" t="s">
        <v>11</v>
      </c>
      <c r="I130" s="5" t="s">
        <v>2</v>
      </c>
      <c r="J130" s="5" t="s">
        <v>1121</v>
      </c>
      <c r="K130" s="5" t="s">
        <v>0</v>
      </c>
    </row>
    <row r="131" spans="2:11" ht="15.75" hidden="1" customHeight="1" x14ac:dyDescent="0.2">
      <c r="B131" s="4" t="s">
        <v>2523</v>
      </c>
      <c r="C131" s="5" t="s">
        <v>150</v>
      </c>
      <c r="D131" s="5" t="s">
        <v>150</v>
      </c>
      <c r="E131" s="5" t="s">
        <v>5</v>
      </c>
      <c r="F131" s="4" t="s">
        <v>3059</v>
      </c>
      <c r="G131" s="14" t="s">
        <v>11</v>
      </c>
      <c r="H131" s="6" t="s">
        <v>11</v>
      </c>
      <c r="I131" s="5" t="s">
        <v>2</v>
      </c>
      <c r="J131" s="5" t="s">
        <v>1121</v>
      </c>
      <c r="K131" s="5" t="s">
        <v>0</v>
      </c>
    </row>
    <row r="132" spans="2:11" ht="15.75" hidden="1" customHeight="1" x14ac:dyDescent="0.2">
      <c r="B132" s="4" t="s">
        <v>2523</v>
      </c>
      <c r="C132" s="4" t="s">
        <v>130</v>
      </c>
      <c r="D132" s="4" t="s">
        <v>77</v>
      </c>
      <c r="E132" s="4" t="s">
        <v>5</v>
      </c>
      <c r="F132" s="4" t="s">
        <v>3058</v>
      </c>
      <c r="G132" s="20" t="s">
        <v>348</v>
      </c>
      <c r="H132" s="6" t="s">
        <v>11</v>
      </c>
      <c r="I132" s="5" t="s">
        <v>2</v>
      </c>
      <c r="J132" s="5" t="s">
        <v>2580</v>
      </c>
      <c r="K132" s="5" t="s">
        <v>0</v>
      </c>
    </row>
    <row r="133" spans="2:11" ht="15.75" hidden="1" customHeight="1" x14ac:dyDescent="0.2">
      <c r="B133" s="4" t="s">
        <v>2523</v>
      </c>
      <c r="C133" s="4" t="s">
        <v>130</v>
      </c>
      <c r="D133" s="4" t="s">
        <v>77</v>
      </c>
      <c r="E133" s="4" t="s">
        <v>5</v>
      </c>
      <c r="F133" s="4" t="s">
        <v>3057</v>
      </c>
      <c r="G133" s="14" t="s">
        <v>348</v>
      </c>
      <c r="H133" s="6" t="s">
        <v>11</v>
      </c>
      <c r="I133" s="5" t="s">
        <v>2</v>
      </c>
      <c r="J133" s="5" t="s">
        <v>1121</v>
      </c>
      <c r="K133" s="5" t="s">
        <v>0</v>
      </c>
    </row>
    <row r="134" spans="2:11" ht="15.75" hidden="1" customHeight="1" x14ac:dyDescent="0.2">
      <c r="B134" s="4" t="s">
        <v>2523</v>
      </c>
      <c r="C134" s="4" t="s">
        <v>1363</v>
      </c>
      <c r="D134" s="4" t="s">
        <v>66</v>
      </c>
      <c r="E134" s="4" t="s">
        <v>5</v>
      </c>
      <c r="F134" s="4" t="s">
        <v>3056</v>
      </c>
      <c r="G134" s="14" t="s">
        <v>348</v>
      </c>
      <c r="H134" s="6" t="s">
        <v>11</v>
      </c>
      <c r="I134" s="5" t="s">
        <v>2</v>
      </c>
      <c r="J134" s="5" t="s">
        <v>1121</v>
      </c>
      <c r="K134" s="5" t="s">
        <v>0</v>
      </c>
    </row>
    <row r="135" spans="2:11" ht="15.75" hidden="1" customHeight="1" x14ac:dyDescent="0.2">
      <c r="B135" s="4" t="s">
        <v>2523</v>
      </c>
      <c r="C135" s="4"/>
      <c r="D135" s="4" t="s">
        <v>66</v>
      </c>
      <c r="E135" s="4" t="s">
        <v>23</v>
      </c>
      <c r="F135" s="4" t="s">
        <v>3055</v>
      </c>
      <c r="G135" s="14" t="s">
        <v>348</v>
      </c>
      <c r="H135" s="6" t="s">
        <v>11</v>
      </c>
      <c r="I135" s="5" t="s">
        <v>2</v>
      </c>
      <c r="J135" s="5" t="s">
        <v>1121</v>
      </c>
      <c r="K135" s="5" t="s">
        <v>75</v>
      </c>
    </row>
    <row r="136" spans="2:11" ht="15.75" hidden="1" customHeight="1" x14ac:dyDescent="0.2">
      <c r="B136" s="4" t="s">
        <v>2523</v>
      </c>
      <c r="C136" s="5" t="s">
        <v>111</v>
      </c>
      <c r="D136" s="5" t="s">
        <v>24</v>
      </c>
      <c r="E136" s="5" t="s">
        <v>55</v>
      </c>
      <c r="F136" s="4" t="s">
        <v>3054</v>
      </c>
      <c r="G136" s="5" t="s">
        <v>447</v>
      </c>
      <c r="H136" s="6" t="s">
        <v>272</v>
      </c>
      <c r="I136" s="5" t="s">
        <v>2</v>
      </c>
      <c r="J136" s="5" t="s">
        <v>1121</v>
      </c>
      <c r="K136" s="5" t="s">
        <v>0</v>
      </c>
    </row>
    <row r="137" spans="2:11" ht="15.75" hidden="1" customHeight="1" x14ac:dyDescent="0.2">
      <c r="B137" s="4" t="s">
        <v>2523</v>
      </c>
      <c r="C137" s="4" t="s">
        <v>228</v>
      </c>
      <c r="D137" s="4" t="s">
        <v>36</v>
      </c>
      <c r="E137" s="4" t="s">
        <v>159</v>
      </c>
      <c r="F137" s="4" t="s">
        <v>3053</v>
      </c>
      <c r="G137" s="4" t="s">
        <v>289</v>
      </c>
      <c r="H137" s="6" t="s">
        <v>272</v>
      </c>
      <c r="I137" s="5" t="s">
        <v>2958</v>
      </c>
      <c r="J137" s="5" t="s">
        <v>50</v>
      </c>
      <c r="K137" s="5" t="s">
        <v>280</v>
      </c>
    </row>
    <row r="138" spans="2:11" ht="15.75" hidden="1" customHeight="1" x14ac:dyDescent="0.2">
      <c r="B138" s="4" t="s">
        <v>2523</v>
      </c>
      <c r="C138" s="4" t="s">
        <v>228</v>
      </c>
      <c r="D138" s="4" t="s">
        <v>36</v>
      </c>
      <c r="E138" s="4" t="s">
        <v>159</v>
      </c>
      <c r="F138" s="4" t="s">
        <v>3052</v>
      </c>
      <c r="G138" s="4" t="s">
        <v>289</v>
      </c>
      <c r="H138" s="6" t="s">
        <v>272</v>
      </c>
      <c r="I138" s="5" t="s">
        <v>2958</v>
      </c>
      <c r="J138" s="5" t="s">
        <v>50</v>
      </c>
      <c r="K138" s="5" t="s">
        <v>280</v>
      </c>
    </row>
    <row r="139" spans="2:11" ht="15.75" hidden="1" customHeight="1" x14ac:dyDescent="0.2">
      <c r="B139" s="4" t="s">
        <v>2523</v>
      </c>
      <c r="C139" s="4" t="s">
        <v>228</v>
      </c>
      <c r="D139" s="4" t="s">
        <v>36</v>
      </c>
      <c r="E139" s="4" t="s">
        <v>159</v>
      </c>
      <c r="F139" s="4" t="s">
        <v>3051</v>
      </c>
      <c r="G139" s="4" t="s">
        <v>289</v>
      </c>
      <c r="H139" s="6" t="s">
        <v>272</v>
      </c>
      <c r="I139" s="5" t="s">
        <v>2958</v>
      </c>
      <c r="J139" s="5" t="s">
        <v>50</v>
      </c>
      <c r="K139" s="5" t="s">
        <v>538</v>
      </c>
    </row>
    <row r="140" spans="2:11" ht="15.75" hidden="1" customHeight="1" x14ac:dyDescent="0.2">
      <c r="B140" s="4" t="s">
        <v>2523</v>
      </c>
      <c r="C140" s="4" t="s">
        <v>228</v>
      </c>
      <c r="D140" s="4" t="s">
        <v>36</v>
      </c>
      <c r="E140" s="4" t="s">
        <v>159</v>
      </c>
      <c r="F140" s="4" t="s">
        <v>3050</v>
      </c>
      <c r="G140" s="4" t="s">
        <v>289</v>
      </c>
      <c r="H140" s="6" t="s">
        <v>272</v>
      </c>
      <c r="I140" s="5" t="s">
        <v>2958</v>
      </c>
      <c r="J140" s="5" t="s">
        <v>50</v>
      </c>
      <c r="K140" s="5" t="s">
        <v>538</v>
      </c>
    </row>
    <row r="141" spans="2:11" ht="15.75" hidden="1" customHeight="1" x14ac:dyDescent="0.2">
      <c r="B141" s="4" t="s">
        <v>2523</v>
      </c>
      <c r="C141" s="4" t="s">
        <v>228</v>
      </c>
      <c r="D141" s="4" t="s">
        <v>36</v>
      </c>
      <c r="E141" s="4" t="s">
        <v>159</v>
      </c>
      <c r="F141" s="4" t="s">
        <v>3050</v>
      </c>
      <c r="G141" s="4" t="s">
        <v>289</v>
      </c>
      <c r="H141" s="6" t="s">
        <v>272</v>
      </c>
      <c r="I141" s="5" t="s">
        <v>2958</v>
      </c>
      <c r="J141" s="5" t="s">
        <v>50</v>
      </c>
      <c r="K141" s="5" t="s">
        <v>538</v>
      </c>
    </row>
    <row r="142" spans="2:11" ht="15.75" hidden="1" customHeight="1" x14ac:dyDescent="0.2">
      <c r="B142" s="4" t="s">
        <v>2523</v>
      </c>
      <c r="C142" s="4" t="s">
        <v>878</v>
      </c>
      <c r="D142" s="4" t="s">
        <v>877</v>
      </c>
      <c r="E142" s="4" t="s">
        <v>5</v>
      </c>
      <c r="F142" s="4" t="s">
        <v>3049</v>
      </c>
      <c r="G142" s="20" t="s">
        <v>11</v>
      </c>
      <c r="H142" s="6" t="s">
        <v>11</v>
      </c>
      <c r="I142" s="5" t="s">
        <v>2</v>
      </c>
      <c r="J142" s="5" t="s">
        <v>2533</v>
      </c>
      <c r="K142" s="5"/>
    </row>
    <row r="143" spans="2:11" ht="15.75" hidden="1" customHeight="1" x14ac:dyDescent="0.2">
      <c r="B143" s="4" t="s">
        <v>2523</v>
      </c>
      <c r="C143" s="4" t="s">
        <v>130</v>
      </c>
      <c r="D143" s="4" t="s">
        <v>77</v>
      </c>
      <c r="E143" s="4" t="s">
        <v>23</v>
      </c>
      <c r="F143" s="4" t="s">
        <v>3048</v>
      </c>
      <c r="G143" s="20" t="s">
        <v>348</v>
      </c>
      <c r="H143" s="6" t="s">
        <v>11</v>
      </c>
      <c r="I143" s="5" t="s">
        <v>2</v>
      </c>
      <c r="J143" s="5" t="s">
        <v>2533</v>
      </c>
      <c r="K143" s="5"/>
    </row>
    <row r="144" spans="2:11" ht="15.75" hidden="1" customHeight="1" x14ac:dyDescent="0.2">
      <c r="B144" s="4" t="s">
        <v>2523</v>
      </c>
      <c r="C144" s="4" t="s">
        <v>139</v>
      </c>
      <c r="D144" s="4" t="s">
        <v>18</v>
      </c>
      <c r="E144" s="4" t="s">
        <v>5</v>
      </c>
      <c r="F144" s="4" t="s">
        <v>3047</v>
      </c>
      <c r="G144" s="14" t="s">
        <v>348</v>
      </c>
      <c r="H144" s="6" t="s">
        <v>11</v>
      </c>
      <c r="I144" s="5" t="s">
        <v>2</v>
      </c>
      <c r="J144" s="5" t="s">
        <v>1121</v>
      </c>
      <c r="K144" s="5" t="s">
        <v>0</v>
      </c>
    </row>
    <row r="145" spans="2:11" ht="15.75" hidden="1" customHeight="1" x14ac:dyDescent="0.2">
      <c r="B145" s="4" t="s">
        <v>2523</v>
      </c>
      <c r="C145" s="4" t="s">
        <v>228</v>
      </c>
      <c r="D145" s="4" t="s">
        <v>36</v>
      </c>
      <c r="E145" s="4" t="s">
        <v>159</v>
      </c>
      <c r="F145" s="4" t="s">
        <v>3046</v>
      </c>
      <c r="G145" s="4" t="s">
        <v>289</v>
      </c>
      <c r="H145" s="6" t="s">
        <v>272</v>
      </c>
      <c r="I145" s="5" t="s">
        <v>2958</v>
      </c>
      <c r="J145" s="5" t="s">
        <v>50</v>
      </c>
      <c r="K145" s="5" t="s">
        <v>538</v>
      </c>
    </row>
    <row r="146" spans="2:11" ht="15.75" hidden="1" customHeight="1" x14ac:dyDescent="0.2">
      <c r="B146" s="4" t="s">
        <v>2523</v>
      </c>
      <c r="C146" s="4" t="s">
        <v>1363</v>
      </c>
      <c r="D146" s="4" t="s">
        <v>66</v>
      </c>
      <c r="E146" s="4" t="s">
        <v>5</v>
      </c>
      <c r="F146" s="4" t="s">
        <v>3045</v>
      </c>
      <c r="G146" s="14" t="s">
        <v>348</v>
      </c>
      <c r="H146" s="6" t="s">
        <v>11</v>
      </c>
      <c r="I146" s="5" t="s">
        <v>2</v>
      </c>
      <c r="J146" s="5" t="s">
        <v>1121</v>
      </c>
      <c r="K146" s="5" t="s">
        <v>0</v>
      </c>
    </row>
    <row r="147" spans="2:11" ht="15.75" hidden="1" customHeight="1" x14ac:dyDescent="0.2">
      <c r="B147" s="4" t="s">
        <v>2523</v>
      </c>
      <c r="C147" s="4" t="s">
        <v>228</v>
      </c>
      <c r="D147" s="4" t="s">
        <v>36</v>
      </c>
      <c r="E147" s="4" t="s">
        <v>159</v>
      </c>
      <c r="F147" s="4" t="s">
        <v>3044</v>
      </c>
      <c r="G147" s="4" t="s">
        <v>289</v>
      </c>
      <c r="H147" s="6" t="s">
        <v>272</v>
      </c>
      <c r="I147" s="5" t="s">
        <v>2958</v>
      </c>
      <c r="J147" s="5" t="s">
        <v>50</v>
      </c>
      <c r="K147" s="5" t="s">
        <v>280</v>
      </c>
    </row>
    <row r="148" spans="2:11" ht="15.75" hidden="1" customHeight="1" x14ac:dyDescent="0.2">
      <c r="B148" s="4" t="s">
        <v>2523</v>
      </c>
      <c r="C148" s="4"/>
      <c r="D148" s="4" t="s">
        <v>236</v>
      </c>
      <c r="E148" s="4" t="s">
        <v>5</v>
      </c>
      <c r="F148" s="4" t="s">
        <v>3043</v>
      </c>
      <c r="G148" s="14" t="s">
        <v>348</v>
      </c>
      <c r="H148" s="6" t="s">
        <v>11</v>
      </c>
      <c r="I148" s="5" t="s">
        <v>2</v>
      </c>
      <c r="J148" s="5" t="s">
        <v>1121</v>
      </c>
      <c r="K148" s="5" t="s">
        <v>0</v>
      </c>
    </row>
    <row r="149" spans="2:11" ht="15.75" hidden="1" customHeight="1" x14ac:dyDescent="0.2">
      <c r="B149" s="4" t="s">
        <v>2523</v>
      </c>
      <c r="C149" s="4" t="s">
        <v>228</v>
      </c>
      <c r="D149" s="4" t="s">
        <v>36</v>
      </c>
      <c r="E149" s="4" t="s">
        <v>159</v>
      </c>
      <c r="F149" s="4" t="s">
        <v>3012</v>
      </c>
      <c r="G149" s="4" t="s">
        <v>289</v>
      </c>
      <c r="H149" s="6" t="s">
        <v>272</v>
      </c>
      <c r="I149" s="5" t="s">
        <v>2958</v>
      </c>
      <c r="J149" s="5" t="s">
        <v>50</v>
      </c>
      <c r="K149" s="5" t="s">
        <v>538</v>
      </c>
    </row>
    <row r="150" spans="2:11" ht="15.75" hidden="1" customHeight="1" x14ac:dyDescent="0.2">
      <c r="B150" s="4" t="s">
        <v>2523</v>
      </c>
      <c r="C150" s="4" t="s">
        <v>228</v>
      </c>
      <c r="D150" s="4" t="s">
        <v>36</v>
      </c>
      <c r="E150" s="4" t="s">
        <v>5</v>
      </c>
      <c r="F150" s="4" t="s">
        <v>3042</v>
      </c>
      <c r="G150" s="20" t="s">
        <v>348</v>
      </c>
      <c r="H150" s="6" t="s">
        <v>11</v>
      </c>
      <c r="I150" s="5" t="s">
        <v>2</v>
      </c>
      <c r="J150" s="5" t="s">
        <v>2580</v>
      </c>
      <c r="K150" s="5" t="s">
        <v>0</v>
      </c>
    </row>
    <row r="151" spans="2:11" ht="15.75" hidden="1" customHeight="1" x14ac:dyDescent="0.2">
      <c r="B151" s="4" t="s">
        <v>2523</v>
      </c>
      <c r="C151" s="5" t="s">
        <v>299</v>
      </c>
      <c r="D151" s="5" t="s">
        <v>28</v>
      </c>
      <c r="E151" s="5" t="s">
        <v>5</v>
      </c>
      <c r="F151" s="4" t="s">
        <v>3041</v>
      </c>
      <c r="G151" s="14" t="s">
        <v>11</v>
      </c>
      <c r="H151" s="6" t="s">
        <v>11</v>
      </c>
      <c r="I151" s="5" t="s">
        <v>2</v>
      </c>
      <c r="J151" s="5" t="s">
        <v>1121</v>
      </c>
      <c r="K151" s="5" t="s">
        <v>0</v>
      </c>
    </row>
    <row r="152" spans="2:11" ht="15.75" hidden="1" customHeight="1" x14ac:dyDescent="0.2">
      <c r="B152" s="4" t="s">
        <v>2523</v>
      </c>
      <c r="C152" s="5" t="s">
        <v>150</v>
      </c>
      <c r="D152" s="5" t="s">
        <v>150</v>
      </c>
      <c r="E152" s="5" t="s">
        <v>5</v>
      </c>
      <c r="F152" s="4" t="s">
        <v>3040</v>
      </c>
      <c r="G152" s="14" t="s">
        <v>11</v>
      </c>
      <c r="H152" s="6" t="s">
        <v>11</v>
      </c>
      <c r="I152" s="5" t="s">
        <v>2</v>
      </c>
      <c r="J152" s="5" t="s">
        <v>1121</v>
      </c>
      <c r="K152" s="5" t="s">
        <v>0</v>
      </c>
    </row>
    <row r="153" spans="2:11" ht="15.75" hidden="1" customHeight="1" x14ac:dyDescent="0.2">
      <c r="B153" s="4" t="s">
        <v>2523</v>
      </c>
      <c r="C153" s="5" t="s">
        <v>89</v>
      </c>
      <c r="D153" s="5" t="s">
        <v>88</v>
      </c>
      <c r="E153" s="5" t="s">
        <v>5</v>
      </c>
      <c r="F153" s="4" t="s">
        <v>3039</v>
      </c>
      <c r="G153" s="14" t="s">
        <v>11</v>
      </c>
      <c r="H153" s="6" t="s">
        <v>11</v>
      </c>
      <c r="I153" s="5" t="s">
        <v>2</v>
      </c>
      <c r="J153" s="5" t="s">
        <v>1121</v>
      </c>
      <c r="K153" s="5" t="s">
        <v>0</v>
      </c>
    </row>
    <row r="154" spans="2:11" ht="15.75" hidden="1" customHeight="1" x14ac:dyDescent="0.2">
      <c r="B154" s="4" t="s">
        <v>2523</v>
      </c>
      <c r="C154" s="4"/>
      <c r="D154" s="4" t="s">
        <v>236</v>
      </c>
      <c r="E154" s="4" t="s">
        <v>5</v>
      </c>
      <c r="F154" s="4" t="s">
        <v>3038</v>
      </c>
      <c r="G154" s="14" t="s">
        <v>1204</v>
      </c>
      <c r="H154" s="6" t="s">
        <v>272</v>
      </c>
      <c r="I154" s="5" t="s">
        <v>2</v>
      </c>
      <c r="J154" s="5" t="s">
        <v>1121</v>
      </c>
      <c r="K154" s="5" t="s">
        <v>0</v>
      </c>
    </row>
    <row r="155" spans="2:11" ht="15.75" hidden="1" customHeight="1" x14ac:dyDescent="0.2">
      <c r="B155" s="4" t="s">
        <v>2523</v>
      </c>
      <c r="C155" s="4"/>
      <c r="D155" s="4" t="s">
        <v>236</v>
      </c>
      <c r="E155" s="4" t="s">
        <v>5</v>
      </c>
      <c r="F155" s="4" t="s">
        <v>3037</v>
      </c>
      <c r="G155" s="14" t="s">
        <v>348</v>
      </c>
      <c r="H155" s="6" t="s">
        <v>11</v>
      </c>
      <c r="I155" s="5" t="s">
        <v>2</v>
      </c>
      <c r="J155" s="5" t="s">
        <v>1121</v>
      </c>
      <c r="K155" s="5" t="s">
        <v>0</v>
      </c>
    </row>
    <row r="156" spans="2:11" ht="15.75" hidden="1" customHeight="1" x14ac:dyDescent="0.2">
      <c r="B156" s="4" t="s">
        <v>2523</v>
      </c>
      <c r="C156" s="4"/>
      <c r="D156" s="4" t="s">
        <v>236</v>
      </c>
      <c r="E156" s="4" t="s">
        <v>5</v>
      </c>
      <c r="F156" s="4" t="s">
        <v>3036</v>
      </c>
      <c r="G156" s="14" t="s">
        <v>1204</v>
      </c>
      <c r="H156" s="6" t="s">
        <v>272</v>
      </c>
      <c r="I156" s="5" t="s">
        <v>2</v>
      </c>
      <c r="J156" s="5" t="s">
        <v>1121</v>
      </c>
      <c r="K156" s="5" t="s">
        <v>0</v>
      </c>
    </row>
    <row r="157" spans="2:11" ht="15.75" hidden="1" customHeight="1" x14ac:dyDescent="0.2">
      <c r="B157" s="4" t="s">
        <v>2523</v>
      </c>
      <c r="C157" s="5" t="s">
        <v>89</v>
      </c>
      <c r="D157" s="5" t="s">
        <v>88</v>
      </c>
      <c r="E157" s="5" t="s">
        <v>5</v>
      </c>
      <c r="F157" s="4" t="s">
        <v>3035</v>
      </c>
      <c r="G157" s="14" t="s">
        <v>11</v>
      </c>
      <c r="H157" s="6" t="s">
        <v>11</v>
      </c>
      <c r="I157" s="5" t="s">
        <v>2</v>
      </c>
      <c r="J157" s="5" t="s">
        <v>1121</v>
      </c>
      <c r="K157" s="5" t="s">
        <v>0</v>
      </c>
    </row>
    <row r="158" spans="2:11" ht="15.75" hidden="1" customHeight="1" x14ac:dyDescent="0.2">
      <c r="B158" s="4" t="s">
        <v>2523</v>
      </c>
      <c r="C158" s="4" t="s">
        <v>228</v>
      </c>
      <c r="D158" s="4" t="s">
        <v>36</v>
      </c>
      <c r="E158" s="4" t="s">
        <v>17</v>
      </c>
      <c r="F158" s="4" t="s">
        <v>3034</v>
      </c>
      <c r="G158" s="4" t="s">
        <v>289</v>
      </c>
      <c r="H158" s="6" t="s">
        <v>272</v>
      </c>
      <c r="I158" s="5" t="s">
        <v>148</v>
      </c>
      <c r="J158" s="5" t="s">
        <v>50</v>
      </c>
      <c r="K158" s="5" t="s">
        <v>280</v>
      </c>
    </row>
    <row r="159" spans="2:11" ht="15.75" hidden="1" customHeight="1" x14ac:dyDescent="0.2">
      <c r="B159" s="4" t="s">
        <v>2523</v>
      </c>
      <c r="C159" s="4" t="s">
        <v>228</v>
      </c>
      <c r="D159" s="4" t="s">
        <v>36</v>
      </c>
      <c r="E159" s="4" t="s">
        <v>159</v>
      </c>
      <c r="F159" s="4" t="s">
        <v>3033</v>
      </c>
      <c r="G159" s="4" t="s">
        <v>289</v>
      </c>
      <c r="H159" s="6" t="s">
        <v>272</v>
      </c>
      <c r="I159" s="5" t="s">
        <v>2958</v>
      </c>
      <c r="J159" s="5" t="s">
        <v>50</v>
      </c>
      <c r="K159" s="5" t="s">
        <v>538</v>
      </c>
    </row>
    <row r="160" spans="2:11" ht="15.75" hidden="1" customHeight="1" x14ac:dyDescent="0.2">
      <c r="B160" s="4" t="s">
        <v>2523</v>
      </c>
      <c r="C160" s="4" t="s">
        <v>228</v>
      </c>
      <c r="D160" s="4" t="s">
        <v>36</v>
      </c>
      <c r="E160" s="4" t="s">
        <v>17</v>
      </c>
      <c r="F160" s="4" t="s">
        <v>3032</v>
      </c>
      <c r="G160" s="4" t="s">
        <v>289</v>
      </c>
      <c r="H160" s="6" t="s">
        <v>272</v>
      </c>
      <c r="I160" s="5" t="s">
        <v>148</v>
      </c>
      <c r="J160" s="5" t="s">
        <v>50</v>
      </c>
      <c r="K160" s="5" t="s">
        <v>280</v>
      </c>
    </row>
    <row r="161" spans="2:11" ht="15.75" hidden="1" customHeight="1" x14ac:dyDescent="0.2">
      <c r="B161" s="4" t="s">
        <v>2523</v>
      </c>
      <c r="C161" s="4" t="s">
        <v>89</v>
      </c>
      <c r="D161" s="4" t="s">
        <v>88</v>
      </c>
      <c r="E161" s="4" t="s">
        <v>5</v>
      </c>
      <c r="F161" s="4" t="s">
        <v>3031</v>
      </c>
      <c r="G161" s="14" t="s">
        <v>11</v>
      </c>
      <c r="H161" s="6" t="s">
        <v>11</v>
      </c>
      <c r="I161" s="5" t="s">
        <v>2</v>
      </c>
      <c r="J161" s="5" t="s">
        <v>2580</v>
      </c>
      <c r="K161" s="5" t="s">
        <v>0</v>
      </c>
    </row>
    <row r="162" spans="2:11" ht="15.75" hidden="1" customHeight="1" x14ac:dyDescent="0.2">
      <c r="B162" s="4" t="s">
        <v>2523</v>
      </c>
      <c r="C162" s="4" t="s">
        <v>228</v>
      </c>
      <c r="D162" s="4" t="s">
        <v>36</v>
      </c>
      <c r="E162" s="4" t="s">
        <v>159</v>
      </c>
      <c r="F162" s="4" t="s">
        <v>3030</v>
      </c>
      <c r="G162" s="4" t="s">
        <v>289</v>
      </c>
      <c r="H162" s="6" t="s">
        <v>272</v>
      </c>
      <c r="I162" s="5" t="s">
        <v>2958</v>
      </c>
      <c r="J162" s="5" t="s">
        <v>50</v>
      </c>
      <c r="K162" s="5" t="s">
        <v>280</v>
      </c>
    </row>
    <row r="163" spans="2:11" ht="15.75" hidden="1" customHeight="1" x14ac:dyDescent="0.2">
      <c r="B163" s="4" t="s">
        <v>2523</v>
      </c>
      <c r="C163" s="4" t="s">
        <v>228</v>
      </c>
      <c r="D163" s="4" t="s">
        <v>36</v>
      </c>
      <c r="E163" s="4" t="s">
        <v>159</v>
      </c>
      <c r="F163" s="4" t="s">
        <v>3029</v>
      </c>
      <c r="G163" s="4" t="s">
        <v>289</v>
      </c>
      <c r="H163" s="6" t="s">
        <v>272</v>
      </c>
      <c r="I163" s="5" t="s">
        <v>2958</v>
      </c>
      <c r="J163" s="5" t="s">
        <v>50</v>
      </c>
      <c r="K163" s="5" t="s">
        <v>280</v>
      </c>
    </row>
    <row r="164" spans="2:11" ht="15.75" hidden="1" customHeight="1" x14ac:dyDescent="0.2">
      <c r="B164" s="4" t="s">
        <v>2523</v>
      </c>
      <c r="C164" s="5" t="s">
        <v>676</v>
      </c>
      <c r="D164" s="5" t="s">
        <v>28</v>
      </c>
      <c r="E164" s="5" t="s">
        <v>5</v>
      </c>
      <c r="F164" s="4" t="s">
        <v>3028</v>
      </c>
      <c r="G164" s="14" t="s">
        <v>11</v>
      </c>
      <c r="H164" s="6" t="s">
        <v>11</v>
      </c>
      <c r="I164" s="5" t="s">
        <v>2</v>
      </c>
      <c r="J164" s="5" t="s">
        <v>1121</v>
      </c>
      <c r="K164" s="5" t="s">
        <v>0</v>
      </c>
    </row>
    <row r="165" spans="2:11" ht="15.75" hidden="1" customHeight="1" x14ac:dyDescent="0.2">
      <c r="B165" s="4" t="s">
        <v>2523</v>
      </c>
      <c r="C165" s="4" t="s">
        <v>228</v>
      </c>
      <c r="D165" s="4" t="s">
        <v>36</v>
      </c>
      <c r="E165" s="4" t="s">
        <v>159</v>
      </c>
      <c r="F165" s="4" t="s">
        <v>3027</v>
      </c>
      <c r="G165" s="4" t="s">
        <v>289</v>
      </c>
      <c r="H165" s="6" t="s">
        <v>272</v>
      </c>
      <c r="I165" s="5" t="s">
        <v>148</v>
      </c>
      <c r="J165" s="5" t="s">
        <v>50</v>
      </c>
      <c r="K165" s="5" t="s">
        <v>538</v>
      </c>
    </row>
    <row r="166" spans="2:11" ht="15.75" hidden="1" customHeight="1" x14ac:dyDescent="0.2">
      <c r="B166" s="4" t="s">
        <v>2523</v>
      </c>
      <c r="C166" s="4" t="s">
        <v>228</v>
      </c>
      <c r="D166" s="4" t="s">
        <v>36</v>
      </c>
      <c r="E166" s="4" t="s">
        <v>159</v>
      </c>
      <c r="F166" s="4" t="s">
        <v>3026</v>
      </c>
      <c r="G166" s="4" t="s">
        <v>289</v>
      </c>
      <c r="H166" s="6" t="s">
        <v>272</v>
      </c>
      <c r="I166" s="5" t="s">
        <v>2958</v>
      </c>
      <c r="J166" s="5" t="s">
        <v>50</v>
      </c>
      <c r="K166" s="5" t="s">
        <v>538</v>
      </c>
    </row>
    <row r="167" spans="2:11" ht="15.75" hidden="1" customHeight="1" x14ac:dyDescent="0.2">
      <c r="B167" s="4" t="s">
        <v>2523</v>
      </c>
      <c r="C167" s="4" t="s">
        <v>130</v>
      </c>
      <c r="D167" s="4" t="s">
        <v>77</v>
      </c>
      <c r="E167" s="4" t="s">
        <v>5</v>
      </c>
      <c r="F167" s="4" t="s">
        <v>3025</v>
      </c>
      <c r="G167" s="14" t="s">
        <v>348</v>
      </c>
      <c r="H167" s="6" t="s">
        <v>11</v>
      </c>
      <c r="I167" s="5" t="s">
        <v>2</v>
      </c>
      <c r="J167" s="5" t="s">
        <v>1121</v>
      </c>
      <c r="K167" s="5" t="s">
        <v>0</v>
      </c>
    </row>
    <row r="168" spans="2:11" ht="15.75" hidden="1" customHeight="1" x14ac:dyDescent="0.2">
      <c r="B168" s="4" t="s">
        <v>2523</v>
      </c>
      <c r="C168" s="5" t="s">
        <v>299</v>
      </c>
      <c r="D168" s="5" t="s">
        <v>28</v>
      </c>
      <c r="E168" s="5" t="s">
        <v>5</v>
      </c>
      <c r="F168" s="4" t="s">
        <v>3024</v>
      </c>
      <c r="G168" s="14" t="s">
        <v>11</v>
      </c>
      <c r="H168" s="6" t="s">
        <v>11</v>
      </c>
      <c r="I168" s="5" t="s">
        <v>2</v>
      </c>
      <c r="J168" s="5" t="s">
        <v>1121</v>
      </c>
      <c r="K168" s="5" t="s">
        <v>0</v>
      </c>
    </row>
    <row r="169" spans="2:11" ht="15.75" hidden="1" customHeight="1" x14ac:dyDescent="0.2">
      <c r="B169" s="4" t="s">
        <v>2523</v>
      </c>
      <c r="C169" s="4" t="s">
        <v>89</v>
      </c>
      <c r="D169" s="4" t="s">
        <v>88</v>
      </c>
      <c r="E169" s="4" t="s">
        <v>159</v>
      </c>
      <c r="F169" s="4" t="s">
        <v>3023</v>
      </c>
      <c r="G169" s="14" t="s">
        <v>11</v>
      </c>
      <c r="H169" s="6" t="s">
        <v>11</v>
      </c>
      <c r="I169" s="4" t="s">
        <v>2</v>
      </c>
      <c r="J169" s="4" t="s">
        <v>2525</v>
      </c>
      <c r="K169" s="4" t="s">
        <v>0</v>
      </c>
    </row>
    <row r="170" spans="2:11" ht="15.75" hidden="1" customHeight="1" x14ac:dyDescent="0.2">
      <c r="B170" s="4" t="s">
        <v>2523</v>
      </c>
      <c r="C170" s="4" t="s">
        <v>130</v>
      </c>
      <c r="D170" s="4" t="s">
        <v>77</v>
      </c>
      <c r="E170" s="4" t="s">
        <v>159</v>
      </c>
      <c r="F170" s="4" t="s">
        <v>3022</v>
      </c>
      <c r="G170" s="20" t="s">
        <v>348</v>
      </c>
      <c r="H170" s="6" t="s">
        <v>11</v>
      </c>
      <c r="I170" s="5" t="s">
        <v>2</v>
      </c>
      <c r="J170" s="5" t="s">
        <v>2580</v>
      </c>
      <c r="K170" s="5" t="s">
        <v>0</v>
      </c>
    </row>
    <row r="171" spans="2:11" ht="15.75" hidden="1" customHeight="1" x14ac:dyDescent="0.2">
      <c r="B171" s="4" t="s">
        <v>2523</v>
      </c>
      <c r="C171" s="4" t="s">
        <v>2224</v>
      </c>
      <c r="D171" s="4" t="s">
        <v>236</v>
      </c>
      <c r="E171" s="5" t="s">
        <v>5</v>
      </c>
      <c r="F171" s="4" t="s">
        <v>3021</v>
      </c>
      <c r="G171" s="14" t="s">
        <v>348</v>
      </c>
      <c r="H171" s="6" t="s">
        <v>11</v>
      </c>
      <c r="I171" s="5" t="s">
        <v>2</v>
      </c>
      <c r="J171" s="5" t="s">
        <v>1121</v>
      </c>
      <c r="K171" s="5" t="s">
        <v>0</v>
      </c>
    </row>
    <row r="172" spans="2:11" ht="15.75" hidden="1" customHeight="1" x14ac:dyDescent="0.2">
      <c r="B172" s="4" t="s">
        <v>2523</v>
      </c>
      <c r="C172" s="5" t="s">
        <v>89</v>
      </c>
      <c r="D172" s="5" t="s">
        <v>88</v>
      </c>
      <c r="E172" s="5" t="s">
        <v>5</v>
      </c>
      <c r="F172" s="4" t="s">
        <v>3020</v>
      </c>
      <c r="G172" s="14" t="s">
        <v>11</v>
      </c>
      <c r="H172" s="6" t="s">
        <v>11</v>
      </c>
      <c r="I172" s="5" t="s">
        <v>2</v>
      </c>
      <c r="J172" s="5" t="s">
        <v>1121</v>
      </c>
      <c r="K172" s="5" t="s">
        <v>0</v>
      </c>
    </row>
    <row r="173" spans="2:11" ht="15.75" hidden="1" customHeight="1" x14ac:dyDescent="0.2">
      <c r="B173" s="4" t="s">
        <v>2523</v>
      </c>
      <c r="C173" s="4"/>
      <c r="D173" s="4" t="s">
        <v>236</v>
      </c>
      <c r="E173" s="5" t="s">
        <v>5</v>
      </c>
      <c r="F173" s="4" t="s">
        <v>3019</v>
      </c>
      <c r="G173" s="14" t="s">
        <v>1204</v>
      </c>
      <c r="H173" s="6" t="s">
        <v>272</v>
      </c>
      <c r="I173" s="5" t="s">
        <v>2</v>
      </c>
      <c r="J173" s="5" t="s">
        <v>1121</v>
      </c>
      <c r="K173" s="5" t="s">
        <v>0</v>
      </c>
    </row>
    <row r="174" spans="2:11" ht="15.75" hidden="1" customHeight="1" x14ac:dyDescent="0.2">
      <c r="B174" s="4" t="s">
        <v>2523</v>
      </c>
      <c r="C174" s="4" t="s">
        <v>228</v>
      </c>
      <c r="D174" s="4" t="s">
        <v>36</v>
      </c>
      <c r="E174" s="4" t="s">
        <v>159</v>
      </c>
      <c r="F174" s="4" t="s">
        <v>3018</v>
      </c>
      <c r="G174" s="4" t="s">
        <v>289</v>
      </c>
      <c r="H174" s="6" t="s">
        <v>272</v>
      </c>
      <c r="I174" s="5" t="s">
        <v>2958</v>
      </c>
      <c r="J174" s="5" t="s">
        <v>50</v>
      </c>
      <c r="K174" s="5" t="s">
        <v>288</v>
      </c>
    </row>
    <row r="175" spans="2:11" ht="15.75" hidden="1" customHeight="1" x14ac:dyDescent="0.2">
      <c r="B175" s="4" t="s">
        <v>2523</v>
      </c>
      <c r="C175" s="4" t="s">
        <v>228</v>
      </c>
      <c r="D175" s="4" t="s">
        <v>36</v>
      </c>
      <c r="E175" s="4" t="s">
        <v>159</v>
      </c>
      <c r="F175" s="4" t="s">
        <v>3017</v>
      </c>
      <c r="G175" s="4" t="s">
        <v>289</v>
      </c>
      <c r="H175" s="6" t="s">
        <v>272</v>
      </c>
      <c r="I175" s="5" t="s">
        <v>2958</v>
      </c>
      <c r="J175" s="5" t="s">
        <v>50</v>
      </c>
      <c r="K175" s="5" t="s">
        <v>538</v>
      </c>
    </row>
    <row r="176" spans="2:11" ht="15.75" hidden="1" customHeight="1" x14ac:dyDescent="0.2">
      <c r="B176" s="4" t="s">
        <v>2523</v>
      </c>
      <c r="C176" s="5" t="s">
        <v>150</v>
      </c>
      <c r="D176" s="5" t="s">
        <v>150</v>
      </c>
      <c r="E176" s="5" t="s">
        <v>5</v>
      </c>
      <c r="F176" s="4" t="s">
        <v>3016</v>
      </c>
      <c r="G176" s="14" t="s">
        <v>11</v>
      </c>
      <c r="H176" s="6" t="s">
        <v>11</v>
      </c>
      <c r="I176" s="5" t="s">
        <v>2</v>
      </c>
      <c r="J176" s="5" t="s">
        <v>1121</v>
      </c>
      <c r="K176" s="5" t="s">
        <v>0</v>
      </c>
    </row>
    <row r="177" spans="2:11" ht="15.75" hidden="1" customHeight="1" x14ac:dyDescent="0.2">
      <c r="B177" s="4" t="s">
        <v>2523</v>
      </c>
      <c r="C177" s="5" t="s">
        <v>95</v>
      </c>
      <c r="D177" s="5" t="s">
        <v>94</v>
      </c>
      <c r="E177" s="5" t="s">
        <v>5</v>
      </c>
      <c r="F177" s="4" t="s">
        <v>3015</v>
      </c>
      <c r="G177" s="14" t="s">
        <v>11</v>
      </c>
      <c r="H177" s="6" t="s">
        <v>11</v>
      </c>
      <c r="I177" s="5" t="s">
        <v>2</v>
      </c>
      <c r="J177" s="5" t="s">
        <v>1121</v>
      </c>
      <c r="K177" s="5" t="s">
        <v>0</v>
      </c>
    </row>
    <row r="178" spans="2:11" ht="15.75" hidden="1" customHeight="1" x14ac:dyDescent="0.2">
      <c r="B178" s="4" t="s">
        <v>2523</v>
      </c>
      <c r="C178" s="5" t="s">
        <v>299</v>
      </c>
      <c r="D178" s="5" t="s">
        <v>28</v>
      </c>
      <c r="E178" s="5" t="s">
        <v>5</v>
      </c>
      <c r="F178" s="4" t="s">
        <v>3014</v>
      </c>
      <c r="G178" s="14" t="s">
        <v>11</v>
      </c>
      <c r="H178" s="6" t="s">
        <v>11</v>
      </c>
      <c r="I178" s="5" t="s">
        <v>2</v>
      </c>
      <c r="J178" s="5" t="s">
        <v>1121</v>
      </c>
      <c r="K178" s="5" t="s">
        <v>0</v>
      </c>
    </row>
    <row r="179" spans="2:11" ht="15.75" hidden="1" customHeight="1" x14ac:dyDescent="0.2">
      <c r="B179" s="4" t="s">
        <v>2523</v>
      </c>
      <c r="C179" s="5" t="s">
        <v>150</v>
      </c>
      <c r="D179" s="5" t="s">
        <v>150</v>
      </c>
      <c r="E179" s="5" t="s">
        <v>5</v>
      </c>
      <c r="F179" s="4" t="s">
        <v>3013</v>
      </c>
      <c r="G179" s="14" t="s">
        <v>11</v>
      </c>
      <c r="H179" s="6" t="s">
        <v>11</v>
      </c>
      <c r="I179" s="5" t="s">
        <v>2</v>
      </c>
      <c r="J179" s="5" t="s">
        <v>1121</v>
      </c>
      <c r="K179" s="5" t="s">
        <v>0</v>
      </c>
    </row>
    <row r="180" spans="2:11" ht="15.75" hidden="1" customHeight="1" x14ac:dyDescent="0.2">
      <c r="B180" s="4" t="s">
        <v>2523</v>
      </c>
      <c r="C180" s="4" t="s">
        <v>228</v>
      </c>
      <c r="D180" s="4" t="s">
        <v>36</v>
      </c>
      <c r="E180" s="4" t="s">
        <v>159</v>
      </c>
      <c r="F180" s="4" t="s">
        <v>3012</v>
      </c>
      <c r="G180" s="4" t="s">
        <v>289</v>
      </c>
      <c r="H180" s="6" t="s">
        <v>272</v>
      </c>
      <c r="I180" s="5" t="s">
        <v>2958</v>
      </c>
      <c r="J180" s="5" t="s">
        <v>50</v>
      </c>
      <c r="K180" s="5" t="s">
        <v>538</v>
      </c>
    </row>
    <row r="181" spans="2:11" ht="15.75" hidden="1" customHeight="1" x14ac:dyDescent="0.2">
      <c r="B181" s="4" t="s">
        <v>2523</v>
      </c>
      <c r="C181" s="4" t="s">
        <v>228</v>
      </c>
      <c r="D181" s="4" t="s">
        <v>36</v>
      </c>
      <c r="E181" s="4" t="s">
        <v>159</v>
      </c>
      <c r="F181" s="4" t="s">
        <v>3011</v>
      </c>
      <c r="G181" s="4" t="s">
        <v>289</v>
      </c>
      <c r="H181" s="6" t="s">
        <v>272</v>
      </c>
      <c r="I181" s="5" t="s">
        <v>2958</v>
      </c>
      <c r="J181" s="5" t="s">
        <v>50</v>
      </c>
      <c r="K181" s="5" t="s">
        <v>3010</v>
      </c>
    </row>
    <row r="182" spans="2:11" ht="15.75" hidden="1" customHeight="1" x14ac:dyDescent="0.2">
      <c r="B182" s="4" t="s">
        <v>2523</v>
      </c>
      <c r="C182" s="5" t="s">
        <v>676</v>
      </c>
      <c r="D182" s="5" t="s">
        <v>28</v>
      </c>
      <c r="E182" s="5" t="s">
        <v>5</v>
      </c>
      <c r="F182" s="4" t="s">
        <v>3009</v>
      </c>
      <c r="G182" s="14" t="s">
        <v>11</v>
      </c>
      <c r="H182" s="6" t="s">
        <v>11</v>
      </c>
      <c r="I182" s="5" t="s">
        <v>2</v>
      </c>
      <c r="J182" s="5" t="s">
        <v>1121</v>
      </c>
      <c r="K182" s="5" t="s">
        <v>0</v>
      </c>
    </row>
    <row r="183" spans="2:11" ht="15.75" hidden="1" customHeight="1" x14ac:dyDescent="0.2">
      <c r="B183" s="4" t="s">
        <v>2523</v>
      </c>
      <c r="C183" s="4" t="s">
        <v>228</v>
      </c>
      <c r="D183" s="4" t="s">
        <v>36</v>
      </c>
      <c r="E183" s="4" t="s">
        <v>5</v>
      </c>
      <c r="F183" s="4" t="s">
        <v>3008</v>
      </c>
      <c r="G183" s="14" t="s">
        <v>348</v>
      </c>
      <c r="H183" s="6" t="s">
        <v>11</v>
      </c>
      <c r="I183" s="5" t="s">
        <v>2</v>
      </c>
      <c r="J183" s="5" t="s">
        <v>1121</v>
      </c>
      <c r="K183" s="5" t="s">
        <v>0</v>
      </c>
    </row>
    <row r="184" spans="2:11" ht="15.75" hidden="1" customHeight="1" x14ac:dyDescent="0.2">
      <c r="B184" s="4" t="s">
        <v>2523</v>
      </c>
      <c r="C184" s="5" t="s">
        <v>676</v>
      </c>
      <c r="D184" s="5" t="s">
        <v>28</v>
      </c>
      <c r="E184" s="5" t="s">
        <v>5</v>
      </c>
      <c r="F184" s="4" t="s">
        <v>3007</v>
      </c>
      <c r="G184" s="14" t="s">
        <v>11</v>
      </c>
      <c r="H184" s="6" t="s">
        <v>11</v>
      </c>
      <c r="I184" s="5" t="s">
        <v>2</v>
      </c>
      <c r="J184" s="5" t="s">
        <v>1121</v>
      </c>
      <c r="K184" s="5" t="s">
        <v>0</v>
      </c>
    </row>
    <row r="185" spans="2:11" ht="15.75" hidden="1" customHeight="1" x14ac:dyDescent="0.2">
      <c r="B185" s="4" t="s">
        <v>2523</v>
      </c>
      <c r="C185" s="4" t="s">
        <v>228</v>
      </c>
      <c r="D185" s="4" t="s">
        <v>36</v>
      </c>
      <c r="E185" s="4" t="s">
        <v>159</v>
      </c>
      <c r="F185" s="4" t="s">
        <v>3006</v>
      </c>
      <c r="G185" s="4" t="s">
        <v>289</v>
      </c>
      <c r="H185" s="6" t="s">
        <v>272</v>
      </c>
      <c r="I185" s="5" t="s">
        <v>2958</v>
      </c>
      <c r="J185" s="5" t="s">
        <v>50</v>
      </c>
      <c r="K185" s="5" t="s">
        <v>280</v>
      </c>
    </row>
    <row r="186" spans="2:11" ht="15.75" hidden="1" customHeight="1" x14ac:dyDescent="0.2">
      <c r="B186" s="4" t="s">
        <v>2523</v>
      </c>
      <c r="C186" s="5" t="s">
        <v>98</v>
      </c>
      <c r="D186" s="5" t="s">
        <v>97</v>
      </c>
      <c r="E186" s="5" t="s">
        <v>5</v>
      </c>
      <c r="F186" s="4" t="s">
        <v>3005</v>
      </c>
      <c r="G186" s="14" t="s">
        <v>11</v>
      </c>
      <c r="H186" s="6" t="s">
        <v>11</v>
      </c>
      <c r="I186" s="5" t="s">
        <v>2</v>
      </c>
      <c r="J186" s="5" t="s">
        <v>1121</v>
      </c>
      <c r="K186" s="5" t="s">
        <v>0</v>
      </c>
    </row>
    <row r="187" spans="2:11" ht="15.75" hidden="1" customHeight="1" x14ac:dyDescent="0.2">
      <c r="B187" s="4" t="s">
        <v>2523</v>
      </c>
      <c r="C187" s="4" t="s">
        <v>228</v>
      </c>
      <c r="D187" s="4" t="s">
        <v>36</v>
      </c>
      <c r="E187" s="4" t="s">
        <v>5</v>
      </c>
      <c r="F187" s="4" t="s">
        <v>3004</v>
      </c>
      <c r="G187" s="4" t="s">
        <v>329</v>
      </c>
      <c r="H187" s="6" t="s">
        <v>272</v>
      </c>
      <c r="I187" s="5" t="s">
        <v>2</v>
      </c>
      <c r="J187" s="5" t="s">
        <v>1121</v>
      </c>
      <c r="K187" s="5" t="s">
        <v>0</v>
      </c>
    </row>
    <row r="188" spans="2:11" ht="15.75" hidden="1" customHeight="1" x14ac:dyDescent="0.2">
      <c r="B188" s="4" t="s">
        <v>2523</v>
      </c>
      <c r="C188" s="5" t="s">
        <v>150</v>
      </c>
      <c r="D188" s="5" t="s">
        <v>150</v>
      </c>
      <c r="E188" s="5" t="s">
        <v>5</v>
      </c>
      <c r="F188" s="4" t="s">
        <v>3003</v>
      </c>
      <c r="G188" s="14" t="s">
        <v>11</v>
      </c>
      <c r="H188" s="6" t="s">
        <v>11</v>
      </c>
      <c r="I188" s="5" t="s">
        <v>2</v>
      </c>
      <c r="J188" s="5" t="s">
        <v>1121</v>
      </c>
      <c r="K188" s="5" t="s">
        <v>0</v>
      </c>
    </row>
    <row r="189" spans="2:11" ht="15.75" hidden="1" customHeight="1" x14ac:dyDescent="0.2">
      <c r="B189" s="4" t="s">
        <v>2523</v>
      </c>
      <c r="C189" s="4" t="s">
        <v>228</v>
      </c>
      <c r="D189" s="4" t="s">
        <v>36</v>
      </c>
      <c r="E189" s="4" t="s">
        <v>159</v>
      </c>
      <c r="F189" s="4" t="s">
        <v>3002</v>
      </c>
      <c r="G189" s="4" t="s">
        <v>289</v>
      </c>
      <c r="H189" s="6" t="s">
        <v>272</v>
      </c>
      <c r="I189" s="5" t="s">
        <v>2958</v>
      </c>
      <c r="J189" s="5" t="s">
        <v>50</v>
      </c>
      <c r="K189" s="5" t="s">
        <v>280</v>
      </c>
    </row>
    <row r="190" spans="2:11" ht="15.75" hidden="1" customHeight="1" x14ac:dyDescent="0.2">
      <c r="B190" s="4" t="s">
        <v>2523</v>
      </c>
      <c r="C190" s="4" t="s">
        <v>783</v>
      </c>
      <c r="D190" s="4" t="s">
        <v>66</v>
      </c>
      <c r="E190" s="4" t="s">
        <v>5</v>
      </c>
      <c r="F190" s="4" t="s">
        <v>3001</v>
      </c>
      <c r="G190" s="20" t="s">
        <v>348</v>
      </c>
      <c r="H190" s="6" t="s">
        <v>11</v>
      </c>
      <c r="I190" s="5" t="s">
        <v>2</v>
      </c>
      <c r="J190" s="5" t="s">
        <v>2580</v>
      </c>
      <c r="K190" s="5" t="s">
        <v>0</v>
      </c>
    </row>
    <row r="191" spans="2:11" ht="15.75" hidden="1" customHeight="1" x14ac:dyDescent="0.2">
      <c r="B191" s="4" t="s">
        <v>2523</v>
      </c>
      <c r="C191" s="4" t="s">
        <v>228</v>
      </c>
      <c r="D191" s="4" t="s">
        <v>36</v>
      </c>
      <c r="E191" s="4" t="s">
        <v>159</v>
      </c>
      <c r="F191" s="4" t="s">
        <v>3000</v>
      </c>
      <c r="G191" s="4" t="s">
        <v>289</v>
      </c>
      <c r="H191" s="6" t="s">
        <v>272</v>
      </c>
      <c r="I191" s="5" t="s">
        <v>2958</v>
      </c>
      <c r="J191" s="5" t="s">
        <v>50</v>
      </c>
      <c r="K191" s="5" t="s">
        <v>280</v>
      </c>
    </row>
    <row r="192" spans="2:11" ht="15.75" hidden="1" customHeight="1" x14ac:dyDescent="0.2">
      <c r="B192" s="4" t="s">
        <v>2523</v>
      </c>
      <c r="C192" s="4" t="s">
        <v>130</v>
      </c>
      <c r="D192" s="4" t="s">
        <v>77</v>
      </c>
      <c r="E192" s="5" t="s">
        <v>5</v>
      </c>
      <c r="F192" s="4" t="s">
        <v>2999</v>
      </c>
      <c r="G192" s="14" t="s">
        <v>348</v>
      </c>
      <c r="H192" s="6" t="s">
        <v>11</v>
      </c>
      <c r="I192" s="5" t="s">
        <v>2</v>
      </c>
      <c r="J192" s="5" t="s">
        <v>1121</v>
      </c>
      <c r="K192" s="5" t="s">
        <v>0</v>
      </c>
    </row>
    <row r="193" spans="2:11" ht="15.75" hidden="1" customHeight="1" x14ac:dyDescent="0.2">
      <c r="B193" s="4" t="s">
        <v>2523</v>
      </c>
      <c r="C193" s="4" t="s">
        <v>2998</v>
      </c>
      <c r="D193" s="4" t="s">
        <v>77</v>
      </c>
      <c r="E193" s="4" t="s">
        <v>5</v>
      </c>
      <c r="F193" s="4" t="s">
        <v>2997</v>
      </c>
      <c r="G193" s="14" t="s">
        <v>348</v>
      </c>
      <c r="H193" s="6" t="s">
        <v>11</v>
      </c>
      <c r="I193" s="5" t="s">
        <v>2</v>
      </c>
      <c r="J193" s="5" t="s">
        <v>1121</v>
      </c>
      <c r="K193" s="5" t="s">
        <v>0</v>
      </c>
    </row>
    <row r="194" spans="2:11" ht="15.75" hidden="1" customHeight="1" x14ac:dyDescent="0.2">
      <c r="B194" s="4" t="s">
        <v>2523</v>
      </c>
      <c r="C194" s="5" t="s">
        <v>150</v>
      </c>
      <c r="D194" s="5" t="s">
        <v>150</v>
      </c>
      <c r="E194" s="5" t="s">
        <v>5</v>
      </c>
      <c r="F194" s="4" t="s">
        <v>2996</v>
      </c>
      <c r="G194" s="14" t="s">
        <v>11</v>
      </c>
      <c r="H194" s="6" t="s">
        <v>11</v>
      </c>
      <c r="I194" s="5" t="s">
        <v>2</v>
      </c>
      <c r="J194" s="5" t="s">
        <v>1121</v>
      </c>
      <c r="K194" s="5" t="s">
        <v>0</v>
      </c>
    </row>
    <row r="195" spans="2:11" ht="15.75" hidden="1" customHeight="1" x14ac:dyDescent="0.2">
      <c r="B195" s="4" t="s">
        <v>2523</v>
      </c>
      <c r="C195" s="5" t="s">
        <v>150</v>
      </c>
      <c r="D195" s="5" t="s">
        <v>150</v>
      </c>
      <c r="E195" s="5" t="s">
        <v>5</v>
      </c>
      <c r="F195" s="4" t="s">
        <v>2995</v>
      </c>
      <c r="G195" s="14" t="s">
        <v>11</v>
      </c>
      <c r="H195" s="6" t="s">
        <v>11</v>
      </c>
      <c r="I195" s="5" t="s">
        <v>2</v>
      </c>
      <c r="J195" s="5" t="s">
        <v>1121</v>
      </c>
      <c r="K195" s="5" t="s">
        <v>0</v>
      </c>
    </row>
    <row r="196" spans="2:11" ht="15.75" hidden="1" customHeight="1" x14ac:dyDescent="0.2">
      <c r="B196" s="4" t="s">
        <v>2523</v>
      </c>
      <c r="C196" s="5" t="s">
        <v>676</v>
      </c>
      <c r="D196" s="5" t="s">
        <v>28</v>
      </c>
      <c r="E196" s="5" t="s">
        <v>5</v>
      </c>
      <c r="F196" s="4" t="s">
        <v>2994</v>
      </c>
      <c r="G196" s="14" t="s">
        <v>11</v>
      </c>
      <c r="H196" s="6" t="s">
        <v>11</v>
      </c>
      <c r="I196" s="5" t="s">
        <v>2</v>
      </c>
      <c r="J196" s="5" t="s">
        <v>1121</v>
      </c>
      <c r="K196" s="5" t="s">
        <v>0</v>
      </c>
    </row>
    <row r="197" spans="2:11" ht="15.75" hidden="1" customHeight="1" x14ac:dyDescent="0.2">
      <c r="B197" s="4" t="s">
        <v>2523</v>
      </c>
      <c r="C197" s="4" t="s">
        <v>228</v>
      </c>
      <c r="D197" s="4" t="s">
        <v>36</v>
      </c>
      <c r="E197" s="4" t="s">
        <v>159</v>
      </c>
      <c r="F197" s="4" t="s">
        <v>2993</v>
      </c>
      <c r="G197" s="4" t="s">
        <v>289</v>
      </c>
      <c r="H197" s="6" t="s">
        <v>272</v>
      </c>
      <c r="I197" s="5" t="s">
        <v>2958</v>
      </c>
      <c r="J197" s="5" t="s">
        <v>50</v>
      </c>
      <c r="K197" s="5" t="s">
        <v>280</v>
      </c>
    </row>
    <row r="198" spans="2:11" ht="15.75" hidden="1" customHeight="1" x14ac:dyDescent="0.2">
      <c r="B198" s="4" t="s">
        <v>2523</v>
      </c>
      <c r="C198" s="5" t="s">
        <v>150</v>
      </c>
      <c r="D198" s="5" t="s">
        <v>150</v>
      </c>
      <c r="E198" s="5" t="s">
        <v>17</v>
      </c>
      <c r="F198" s="4" t="s">
        <v>2992</v>
      </c>
      <c r="G198" s="14" t="s">
        <v>11</v>
      </c>
      <c r="H198" s="6" t="s">
        <v>11</v>
      </c>
      <c r="I198" s="5" t="s">
        <v>2</v>
      </c>
      <c r="J198" s="5" t="s">
        <v>1121</v>
      </c>
      <c r="K198" s="5" t="s">
        <v>0</v>
      </c>
    </row>
    <row r="199" spans="2:11" ht="15.75" hidden="1" customHeight="1" x14ac:dyDescent="0.2">
      <c r="B199" s="4" t="s">
        <v>2523</v>
      </c>
      <c r="C199" s="4" t="s">
        <v>228</v>
      </c>
      <c r="D199" s="4" t="s">
        <v>36</v>
      </c>
      <c r="E199" s="4" t="s">
        <v>159</v>
      </c>
      <c r="F199" s="4" t="s">
        <v>2991</v>
      </c>
      <c r="G199" s="4" t="s">
        <v>289</v>
      </c>
      <c r="H199" s="6" t="s">
        <v>272</v>
      </c>
      <c r="I199" s="5" t="s">
        <v>2958</v>
      </c>
      <c r="J199" s="5" t="s">
        <v>50</v>
      </c>
      <c r="K199" s="5" t="s">
        <v>554</v>
      </c>
    </row>
    <row r="200" spans="2:11" ht="15.75" hidden="1" customHeight="1" x14ac:dyDescent="0.2">
      <c r="B200" s="4" t="s">
        <v>2523</v>
      </c>
      <c r="C200" s="4" t="s">
        <v>271</v>
      </c>
      <c r="D200" s="5" t="s">
        <v>94</v>
      </c>
      <c r="E200" s="5" t="s">
        <v>17</v>
      </c>
      <c r="F200" s="4" t="s">
        <v>2990</v>
      </c>
      <c r="G200" s="14" t="s">
        <v>11</v>
      </c>
      <c r="H200" s="6" t="s">
        <v>11</v>
      </c>
      <c r="I200" s="5" t="s">
        <v>2</v>
      </c>
      <c r="J200" s="5" t="s">
        <v>1121</v>
      </c>
      <c r="K200" s="5" t="s">
        <v>279</v>
      </c>
    </row>
    <row r="201" spans="2:11" ht="15.75" hidden="1" customHeight="1" x14ac:dyDescent="0.2">
      <c r="B201" s="4" t="s">
        <v>2523</v>
      </c>
      <c r="C201" s="5" t="s">
        <v>150</v>
      </c>
      <c r="D201" s="5" t="s">
        <v>150</v>
      </c>
      <c r="E201" s="5" t="s">
        <v>5</v>
      </c>
      <c r="F201" s="4" t="s">
        <v>2989</v>
      </c>
      <c r="G201" s="14" t="s">
        <v>11</v>
      </c>
      <c r="H201" s="6" t="s">
        <v>11</v>
      </c>
      <c r="I201" s="5" t="s">
        <v>2</v>
      </c>
      <c r="J201" s="5" t="s">
        <v>1121</v>
      </c>
      <c r="K201" s="5" t="s">
        <v>0</v>
      </c>
    </row>
    <row r="202" spans="2:11" ht="15.75" hidden="1" customHeight="1" x14ac:dyDescent="0.2">
      <c r="B202" s="4" t="s">
        <v>2523</v>
      </c>
      <c r="C202" s="4" t="s">
        <v>89</v>
      </c>
      <c r="D202" s="4" t="s">
        <v>88</v>
      </c>
      <c r="E202" s="4" t="s">
        <v>5</v>
      </c>
      <c r="F202" s="4" t="s">
        <v>2988</v>
      </c>
      <c r="G202" s="14" t="s">
        <v>11</v>
      </c>
      <c r="H202" s="6" t="s">
        <v>11</v>
      </c>
      <c r="I202" s="4" t="s">
        <v>2</v>
      </c>
      <c r="J202" s="4" t="s">
        <v>2728</v>
      </c>
      <c r="K202" s="4" t="s">
        <v>0</v>
      </c>
    </row>
    <row r="203" spans="2:11" ht="15.75" hidden="1" customHeight="1" x14ac:dyDescent="0.2">
      <c r="B203" s="4" t="s">
        <v>2523</v>
      </c>
      <c r="C203" s="4" t="s">
        <v>271</v>
      </c>
      <c r="D203" s="5" t="s">
        <v>94</v>
      </c>
      <c r="E203" s="5" t="s">
        <v>5</v>
      </c>
      <c r="F203" s="4" t="s">
        <v>2987</v>
      </c>
      <c r="G203" s="14" t="s">
        <v>11</v>
      </c>
      <c r="H203" s="6" t="s">
        <v>11</v>
      </c>
      <c r="I203" s="5" t="s">
        <v>2</v>
      </c>
      <c r="J203" s="5" t="s">
        <v>1121</v>
      </c>
      <c r="K203" s="5" t="s">
        <v>0</v>
      </c>
    </row>
    <row r="204" spans="2:11" ht="15.75" hidden="1" customHeight="1" x14ac:dyDescent="0.2">
      <c r="B204" s="4" t="s">
        <v>2523</v>
      </c>
      <c r="C204" s="4" t="s">
        <v>228</v>
      </c>
      <c r="D204" s="4" t="s">
        <v>36</v>
      </c>
      <c r="E204" s="4" t="s">
        <v>5</v>
      </c>
      <c r="F204" s="4" t="s">
        <v>2986</v>
      </c>
      <c r="G204" s="4" t="s">
        <v>329</v>
      </c>
      <c r="H204" s="6" t="s">
        <v>272</v>
      </c>
      <c r="I204" s="5" t="s">
        <v>2</v>
      </c>
      <c r="J204" s="5" t="s">
        <v>2533</v>
      </c>
      <c r="K204" s="5" t="s">
        <v>2985</v>
      </c>
    </row>
    <row r="205" spans="2:11" ht="15.75" hidden="1" customHeight="1" x14ac:dyDescent="0.2">
      <c r="B205" s="4" t="s">
        <v>2523</v>
      </c>
      <c r="C205" s="5" t="s">
        <v>676</v>
      </c>
      <c r="D205" s="5" t="s">
        <v>28</v>
      </c>
      <c r="E205" s="5" t="s">
        <v>5</v>
      </c>
      <c r="F205" s="4" t="s">
        <v>2984</v>
      </c>
      <c r="G205" s="14" t="s">
        <v>11</v>
      </c>
      <c r="H205" s="6" t="s">
        <v>11</v>
      </c>
      <c r="I205" s="5" t="s">
        <v>2</v>
      </c>
      <c r="J205" s="5" t="s">
        <v>1121</v>
      </c>
      <c r="K205" s="5" t="s">
        <v>0</v>
      </c>
    </row>
    <row r="206" spans="2:11" ht="15.75" hidden="1" customHeight="1" x14ac:dyDescent="0.2">
      <c r="B206" s="4" t="s">
        <v>2523</v>
      </c>
      <c r="C206" s="5" t="s">
        <v>408</v>
      </c>
      <c r="D206" s="5" t="s">
        <v>28</v>
      </c>
      <c r="E206" s="5" t="s">
        <v>5</v>
      </c>
      <c r="F206" s="4" t="s">
        <v>2983</v>
      </c>
      <c r="G206" s="14" t="s">
        <v>11</v>
      </c>
      <c r="H206" s="6" t="s">
        <v>11</v>
      </c>
      <c r="I206" s="5" t="s">
        <v>2</v>
      </c>
      <c r="J206" s="5" t="s">
        <v>1121</v>
      </c>
      <c r="K206" s="5" t="s">
        <v>0</v>
      </c>
    </row>
    <row r="207" spans="2:11" ht="15.75" hidden="1" customHeight="1" x14ac:dyDescent="0.2">
      <c r="B207" s="4" t="s">
        <v>2523</v>
      </c>
      <c r="C207" s="4" t="s">
        <v>228</v>
      </c>
      <c r="D207" s="4" t="s">
        <v>36</v>
      </c>
      <c r="E207" s="4" t="s">
        <v>17</v>
      </c>
      <c r="F207" s="4" t="s">
        <v>2982</v>
      </c>
      <c r="G207" s="4" t="s">
        <v>329</v>
      </c>
      <c r="H207" s="6" t="s">
        <v>272</v>
      </c>
      <c r="I207" s="5" t="s">
        <v>2</v>
      </c>
      <c r="J207" s="5" t="s">
        <v>1121</v>
      </c>
      <c r="K207" s="5" t="s">
        <v>0</v>
      </c>
    </row>
    <row r="208" spans="2:11" ht="15.75" hidden="1" customHeight="1" x14ac:dyDescent="0.2">
      <c r="B208" s="4" t="s">
        <v>2523</v>
      </c>
      <c r="C208" s="4" t="s">
        <v>1363</v>
      </c>
      <c r="D208" s="4" t="s">
        <v>66</v>
      </c>
      <c r="E208" s="5" t="s">
        <v>5</v>
      </c>
      <c r="F208" s="4" t="s">
        <v>2981</v>
      </c>
      <c r="G208" s="14" t="s">
        <v>348</v>
      </c>
      <c r="H208" s="6" t="s">
        <v>11</v>
      </c>
      <c r="I208" s="5" t="s">
        <v>2</v>
      </c>
      <c r="J208" s="5" t="s">
        <v>1121</v>
      </c>
      <c r="K208" s="5" t="s">
        <v>0</v>
      </c>
    </row>
    <row r="209" spans="2:11" ht="15.75" hidden="1" customHeight="1" x14ac:dyDescent="0.2">
      <c r="B209" s="4" t="s">
        <v>2523</v>
      </c>
      <c r="C209" s="4" t="s">
        <v>228</v>
      </c>
      <c r="D209" s="4" t="s">
        <v>36</v>
      </c>
      <c r="E209" s="4" t="s">
        <v>17</v>
      </c>
      <c r="F209" s="4" t="s">
        <v>2980</v>
      </c>
      <c r="G209" s="4" t="s">
        <v>329</v>
      </c>
      <c r="H209" s="6" t="s">
        <v>272</v>
      </c>
      <c r="I209" s="5" t="s">
        <v>2</v>
      </c>
      <c r="J209" s="5" t="s">
        <v>1121</v>
      </c>
      <c r="K209" s="5" t="s">
        <v>75</v>
      </c>
    </row>
    <row r="210" spans="2:11" ht="15.75" hidden="1" customHeight="1" x14ac:dyDescent="0.2">
      <c r="B210" s="4" t="s">
        <v>2523</v>
      </c>
      <c r="C210" s="4" t="s">
        <v>228</v>
      </c>
      <c r="D210" s="4" t="s">
        <v>36</v>
      </c>
      <c r="E210" s="5" t="s">
        <v>5</v>
      </c>
      <c r="F210" s="4" t="s">
        <v>2979</v>
      </c>
      <c r="G210" s="4" t="s">
        <v>329</v>
      </c>
      <c r="H210" s="6" t="s">
        <v>272</v>
      </c>
      <c r="I210" s="5" t="s">
        <v>2</v>
      </c>
      <c r="J210" s="5" t="s">
        <v>1121</v>
      </c>
      <c r="K210" s="5" t="s">
        <v>0</v>
      </c>
    </row>
    <row r="211" spans="2:11" ht="15.75" hidden="1" customHeight="1" x14ac:dyDescent="0.2">
      <c r="B211" s="4" t="s">
        <v>2523</v>
      </c>
      <c r="C211" s="4" t="s">
        <v>271</v>
      </c>
      <c r="D211" s="5" t="s">
        <v>94</v>
      </c>
      <c r="E211" s="5" t="s">
        <v>5</v>
      </c>
      <c r="F211" s="4" t="s">
        <v>2978</v>
      </c>
      <c r="G211" s="14" t="s">
        <v>11</v>
      </c>
      <c r="H211" s="6" t="s">
        <v>11</v>
      </c>
      <c r="I211" s="5" t="s">
        <v>2</v>
      </c>
      <c r="J211" s="5" t="s">
        <v>1121</v>
      </c>
      <c r="K211" s="5" t="s">
        <v>0</v>
      </c>
    </row>
    <row r="212" spans="2:11" ht="15.75" hidden="1" customHeight="1" x14ac:dyDescent="0.2">
      <c r="B212" s="4" t="s">
        <v>2523</v>
      </c>
      <c r="C212" s="4" t="s">
        <v>228</v>
      </c>
      <c r="D212" s="4" t="s">
        <v>36</v>
      </c>
      <c r="E212" s="5" t="s">
        <v>5</v>
      </c>
      <c r="F212" s="4" t="s">
        <v>2977</v>
      </c>
      <c r="G212" s="4" t="s">
        <v>329</v>
      </c>
      <c r="H212" s="6" t="s">
        <v>272</v>
      </c>
      <c r="I212" s="5" t="s">
        <v>2</v>
      </c>
      <c r="J212" s="5" t="s">
        <v>1121</v>
      </c>
      <c r="K212" s="5" t="s">
        <v>0</v>
      </c>
    </row>
    <row r="213" spans="2:11" ht="15.75" hidden="1" customHeight="1" x14ac:dyDescent="0.2">
      <c r="B213" s="4" t="s">
        <v>2523</v>
      </c>
      <c r="C213" s="5" t="s">
        <v>150</v>
      </c>
      <c r="D213" s="5" t="s">
        <v>150</v>
      </c>
      <c r="E213" s="5" t="s">
        <v>5</v>
      </c>
      <c r="F213" s="4" t="s">
        <v>2976</v>
      </c>
      <c r="G213" s="14" t="s">
        <v>11</v>
      </c>
      <c r="H213" s="6" t="s">
        <v>11</v>
      </c>
      <c r="I213" s="5" t="s">
        <v>2</v>
      </c>
      <c r="J213" s="5" t="s">
        <v>1121</v>
      </c>
      <c r="K213" s="5" t="s">
        <v>0</v>
      </c>
    </row>
    <row r="214" spans="2:11" ht="15.75" hidden="1" customHeight="1" x14ac:dyDescent="0.2">
      <c r="B214" s="4" t="s">
        <v>2523</v>
      </c>
      <c r="C214" s="4" t="s">
        <v>139</v>
      </c>
      <c r="D214" s="4" t="s">
        <v>18</v>
      </c>
      <c r="E214" s="4" t="s">
        <v>5</v>
      </c>
      <c r="F214" s="4" t="s">
        <v>2975</v>
      </c>
      <c r="G214" s="14" t="s">
        <v>348</v>
      </c>
      <c r="H214" s="6" t="s">
        <v>11</v>
      </c>
      <c r="I214" s="5" t="s">
        <v>2</v>
      </c>
      <c r="J214" s="5" t="s">
        <v>1121</v>
      </c>
      <c r="K214" s="5" t="s">
        <v>75</v>
      </c>
    </row>
    <row r="215" spans="2:11" ht="15.75" hidden="1" customHeight="1" x14ac:dyDescent="0.2">
      <c r="B215" s="4" t="s">
        <v>2523</v>
      </c>
      <c r="C215" s="4" t="s">
        <v>228</v>
      </c>
      <c r="D215" s="4" t="s">
        <v>36</v>
      </c>
      <c r="E215" s="4" t="s">
        <v>159</v>
      </c>
      <c r="F215" s="4" t="s">
        <v>2974</v>
      </c>
      <c r="G215" s="4" t="s">
        <v>289</v>
      </c>
      <c r="H215" s="6" t="s">
        <v>272</v>
      </c>
      <c r="I215" s="5" t="s">
        <v>2958</v>
      </c>
      <c r="J215" s="5" t="s">
        <v>50</v>
      </c>
      <c r="K215" s="5" t="s">
        <v>280</v>
      </c>
    </row>
    <row r="216" spans="2:11" ht="15.75" hidden="1" customHeight="1" x14ac:dyDescent="0.2">
      <c r="B216" s="4" t="s">
        <v>2523</v>
      </c>
      <c r="C216" s="5" t="s">
        <v>684</v>
      </c>
      <c r="D216" s="5" t="s">
        <v>13</v>
      </c>
      <c r="E216" s="5" t="s">
        <v>5</v>
      </c>
      <c r="F216" s="4" t="s">
        <v>2973</v>
      </c>
      <c r="G216" s="14" t="s">
        <v>11</v>
      </c>
      <c r="H216" s="6" t="s">
        <v>11</v>
      </c>
      <c r="I216" s="5" t="s">
        <v>2</v>
      </c>
      <c r="J216" s="5" t="s">
        <v>1121</v>
      </c>
      <c r="K216" s="5" t="s">
        <v>0</v>
      </c>
    </row>
    <row r="217" spans="2:11" ht="15.75" hidden="1" customHeight="1" x14ac:dyDescent="0.2">
      <c r="B217" s="4" t="s">
        <v>2523</v>
      </c>
      <c r="C217" s="4" t="s">
        <v>228</v>
      </c>
      <c r="D217" s="4" t="s">
        <v>36</v>
      </c>
      <c r="E217" s="5" t="s">
        <v>5</v>
      </c>
      <c r="F217" s="4" t="s">
        <v>2972</v>
      </c>
      <c r="G217" s="4" t="s">
        <v>329</v>
      </c>
      <c r="H217" s="6" t="s">
        <v>272</v>
      </c>
      <c r="I217" s="5" t="s">
        <v>2</v>
      </c>
      <c r="J217" s="5" t="s">
        <v>1121</v>
      </c>
      <c r="K217" s="5" t="s">
        <v>0</v>
      </c>
    </row>
    <row r="218" spans="2:11" ht="15.75" hidden="1" customHeight="1" x14ac:dyDescent="0.2">
      <c r="B218" s="4" t="s">
        <v>2523</v>
      </c>
      <c r="C218" s="4" t="s">
        <v>228</v>
      </c>
      <c r="D218" s="4" t="s">
        <v>36</v>
      </c>
      <c r="E218" s="4" t="s">
        <v>17</v>
      </c>
      <c r="F218" s="4" t="s">
        <v>2971</v>
      </c>
      <c r="G218" s="4" t="s">
        <v>329</v>
      </c>
      <c r="H218" s="6" t="s">
        <v>272</v>
      </c>
      <c r="I218" s="5" t="s">
        <v>2</v>
      </c>
      <c r="J218" s="5" t="s">
        <v>1121</v>
      </c>
      <c r="K218" s="5" t="s">
        <v>0</v>
      </c>
    </row>
    <row r="219" spans="2:11" ht="15.75" hidden="1" customHeight="1" x14ac:dyDescent="0.2">
      <c r="B219" s="4" t="s">
        <v>2523</v>
      </c>
      <c r="C219" s="5" t="s">
        <v>150</v>
      </c>
      <c r="D219" s="5" t="s">
        <v>150</v>
      </c>
      <c r="E219" s="5" t="s">
        <v>5</v>
      </c>
      <c r="F219" s="4" t="s">
        <v>2970</v>
      </c>
      <c r="G219" s="14" t="s">
        <v>11</v>
      </c>
      <c r="H219" s="6" t="s">
        <v>11</v>
      </c>
      <c r="I219" s="5" t="s">
        <v>2</v>
      </c>
      <c r="J219" s="5" t="s">
        <v>1121</v>
      </c>
      <c r="K219" s="5" t="s">
        <v>0</v>
      </c>
    </row>
    <row r="220" spans="2:11" ht="15.75" hidden="1" customHeight="1" x14ac:dyDescent="0.2">
      <c r="B220" s="4" t="s">
        <v>2523</v>
      </c>
      <c r="C220" s="4"/>
      <c r="D220" s="4" t="s">
        <v>236</v>
      </c>
      <c r="E220" s="4" t="s">
        <v>159</v>
      </c>
      <c r="F220" s="4" t="s">
        <v>2969</v>
      </c>
      <c r="G220" s="20" t="s">
        <v>348</v>
      </c>
      <c r="H220" s="6" t="s">
        <v>11</v>
      </c>
      <c r="I220" s="5" t="s">
        <v>2</v>
      </c>
      <c r="J220" s="5" t="s">
        <v>2580</v>
      </c>
      <c r="K220" s="5" t="s">
        <v>0</v>
      </c>
    </row>
    <row r="221" spans="2:11" ht="15.75" hidden="1" customHeight="1" x14ac:dyDescent="0.2">
      <c r="B221" s="4" t="s">
        <v>2523</v>
      </c>
      <c r="C221" s="4" t="s">
        <v>271</v>
      </c>
      <c r="D221" s="5" t="s">
        <v>94</v>
      </c>
      <c r="E221" s="5" t="s">
        <v>5</v>
      </c>
      <c r="F221" s="4" t="s">
        <v>2968</v>
      </c>
      <c r="G221" s="14" t="s">
        <v>11</v>
      </c>
      <c r="H221" s="6" t="s">
        <v>11</v>
      </c>
      <c r="I221" s="5" t="s">
        <v>2</v>
      </c>
      <c r="J221" s="5" t="s">
        <v>1121</v>
      </c>
      <c r="K221" s="5" t="s">
        <v>0</v>
      </c>
    </row>
    <row r="222" spans="2:11" ht="15.75" hidden="1" customHeight="1" x14ac:dyDescent="0.2">
      <c r="B222" s="4" t="s">
        <v>2523</v>
      </c>
      <c r="C222" s="4" t="s">
        <v>228</v>
      </c>
      <c r="D222" s="4" t="s">
        <v>36</v>
      </c>
      <c r="E222" s="5" t="s">
        <v>5</v>
      </c>
      <c r="F222" s="4" t="s">
        <v>2967</v>
      </c>
      <c r="G222" s="4" t="s">
        <v>273</v>
      </c>
      <c r="H222" s="6" t="s">
        <v>272</v>
      </c>
      <c r="I222" s="5" t="s">
        <v>2</v>
      </c>
      <c r="J222" s="5" t="s">
        <v>1121</v>
      </c>
      <c r="K222" s="5" t="s">
        <v>0</v>
      </c>
    </row>
    <row r="223" spans="2:11" ht="15.75" hidden="1" customHeight="1" x14ac:dyDescent="0.2">
      <c r="B223" s="4" t="s">
        <v>2523</v>
      </c>
      <c r="C223" s="4" t="s">
        <v>2966</v>
      </c>
      <c r="D223" s="4" t="s">
        <v>77</v>
      </c>
      <c r="E223" s="4" t="s">
        <v>5</v>
      </c>
      <c r="F223" s="4" t="s">
        <v>2965</v>
      </c>
      <c r="G223" s="14" t="s">
        <v>348</v>
      </c>
      <c r="H223" s="6" t="s">
        <v>11</v>
      </c>
      <c r="I223" s="5" t="s">
        <v>2</v>
      </c>
      <c r="J223" s="5" t="s">
        <v>1121</v>
      </c>
      <c r="K223" s="5"/>
    </row>
    <row r="224" spans="2:11" ht="15.75" hidden="1" customHeight="1" x14ac:dyDescent="0.2">
      <c r="B224" s="4" t="s">
        <v>2523</v>
      </c>
      <c r="C224" s="4" t="s">
        <v>228</v>
      </c>
      <c r="D224" s="4" t="s">
        <v>36</v>
      </c>
      <c r="E224" s="4" t="s">
        <v>5</v>
      </c>
      <c r="F224" s="4" t="s">
        <v>2964</v>
      </c>
      <c r="G224" s="4" t="s">
        <v>329</v>
      </c>
      <c r="H224" s="6" t="s">
        <v>272</v>
      </c>
      <c r="I224" s="5" t="s">
        <v>2</v>
      </c>
      <c r="J224" s="5" t="s">
        <v>1121</v>
      </c>
      <c r="K224" s="5"/>
    </row>
    <row r="225" spans="2:11" ht="15.75" hidden="1" customHeight="1" x14ac:dyDescent="0.2">
      <c r="B225" s="4" t="s">
        <v>2523</v>
      </c>
      <c r="C225" s="4" t="s">
        <v>783</v>
      </c>
      <c r="D225" s="4" t="s">
        <v>66</v>
      </c>
      <c r="E225" s="5" t="s">
        <v>5</v>
      </c>
      <c r="F225" s="4" t="s">
        <v>2963</v>
      </c>
      <c r="G225" s="14" t="s">
        <v>348</v>
      </c>
      <c r="H225" s="6" t="s">
        <v>11</v>
      </c>
      <c r="I225" s="5" t="s">
        <v>2</v>
      </c>
      <c r="J225" s="5" t="s">
        <v>1121</v>
      </c>
      <c r="K225" s="5" t="s">
        <v>0</v>
      </c>
    </row>
    <row r="226" spans="2:11" ht="15.75" hidden="1" customHeight="1" x14ac:dyDescent="0.2">
      <c r="B226" s="4" t="s">
        <v>2523</v>
      </c>
      <c r="C226" s="4" t="s">
        <v>141</v>
      </c>
      <c r="D226" s="4" t="s">
        <v>71</v>
      </c>
      <c r="E226" s="4" t="s">
        <v>23</v>
      </c>
      <c r="F226" s="4" t="s">
        <v>2962</v>
      </c>
      <c r="G226" s="14" t="s">
        <v>3</v>
      </c>
      <c r="H226" s="6" t="s">
        <v>3</v>
      </c>
      <c r="I226" s="5" t="s">
        <v>2</v>
      </c>
      <c r="J226" s="5" t="s">
        <v>2580</v>
      </c>
      <c r="K226" s="5" t="s">
        <v>0</v>
      </c>
    </row>
    <row r="227" spans="2:11" ht="15.75" hidden="1" customHeight="1" x14ac:dyDescent="0.2">
      <c r="B227" s="4" t="s">
        <v>2523</v>
      </c>
      <c r="C227" s="5" t="s">
        <v>150</v>
      </c>
      <c r="D227" s="5" t="s">
        <v>150</v>
      </c>
      <c r="E227" s="5" t="s">
        <v>5</v>
      </c>
      <c r="F227" s="4" t="s">
        <v>2961</v>
      </c>
      <c r="G227" s="14" t="s">
        <v>11</v>
      </c>
      <c r="H227" s="6" t="s">
        <v>11</v>
      </c>
      <c r="I227" s="5" t="s">
        <v>2</v>
      </c>
      <c r="J227" s="5" t="s">
        <v>1121</v>
      </c>
      <c r="K227" s="5" t="s">
        <v>0</v>
      </c>
    </row>
    <row r="228" spans="2:11" ht="15.75" hidden="1" customHeight="1" x14ac:dyDescent="0.2">
      <c r="B228" s="4" t="s">
        <v>2523</v>
      </c>
      <c r="C228" s="4" t="s">
        <v>228</v>
      </c>
      <c r="D228" s="4" t="s">
        <v>36</v>
      </c>
      <c r="E228" s="4" t="s">
        <v>159</v>
      </c>
      <c r="F228" s="4" t="s">
        <v>2960</v>
      </c>
      <c r="G228" s="4" t="s">
        <v>289</v>
      </c>
      <c r="H228" s="6" t="s">
        <v>272</v>
      </c>
      <c r="I228" s="5" t="s">
        <v>2958</v>
      </c>
      <c r="J228" s="5" t="s">
        <v>50</v>
      </c>
      <c r="K228" s="5" t="s">
        <v>280</v>
      </c>
    </row>
    <row r="229" spans="2:11" ht="15.75" hidden="1" customHeight="1" x14ac:dyDescent="0.2">
      <c r="B229" s="4" t="s">
        <v>2523</v>
      </c>
      <c r="C229" s="4" t="s">
        <v>228</v>
      </c>
      <c r="D229" s="4" t="s">
        <v>36</v>
      </c>
      <c r="E229" s="4" t="s">
        <v>159</v>
      </c>
      <c r="F229" s="4" t="s">
        <v>2959</v>
      </c>
      <c r="G229" s="4" t="s">
        <v>289</v>
      </c>
      <c r="H229" s="6" t="s">
        <v>272</v>
      </c>
      <c r="I229" s="5" t="s">
        <v>2958</v>
      </c>
      <c r="J229" s="5" t="s">
        <v>50</v>
      </c>
      <c r="K229" s="5" t="s">
        <v>280</v>
      </c>
    </row>
    <row r="230" spans="2:11" ht="15.75" hidden="1" customHeight="1" x14ac:dyDescent="0.2">
      <c r="B230" s="4" t="s">
        <v>2523</v>
      </c>
      <c r="C230" s="4" t="s">
        <v>783</v>
      </c>
      <c r="D230" s="4" t="s">
        <v>66</v>
      </c>
      <c r="E230" s="4" t="s">
        <v>5</v>
      </c>
      <c r="F230" s="4" t="s">
        <v>2957</v>
      </c>
      <c r="G230" s="20" t="s">
        <v>348</v>
      </c>
      <c r="H230" s="6" t="s">
        <v>11</v>
      </c>
      <c r="I230" s="5" t="s">
        <v>2</v>
      </c>
      <c r="J230" s="5" t="s">
        <v>2580</v>
      </c>
      <c r="K230" s="5" t="s">
        <v>0</v>
      </c>
    </row>
    <row r="231" spans="2:11" ht="15.75" hidden="1" customHeight="1" x14ac:dyDescent="0.2">
      <c r="B231" s="4" t="s">
        <v>2523</v>
      </c>
      <c r="C231" s="4" t="s">
        <v>150</v>
      </c>
      <c r="D231" s="4" t="s">
        <v>150</v>
      </c>
      <c r="E231" s="4" t="s">
        <v>23</v>
      </c>
      <c r="F231" s="4" t="s">
        <v>2956</v>
      </c>
      <c r="G231" s="14" t="s">
        <v>11</v>
      </c>
      <c r="H231" s="6" t="s">
        <v>11</v>
      </c>
      <c r="I231" s="5" t="s">
        <v>2</v>
      </c>
      <c r="J231" s="5" t="s">
        <v>2533</v>
      </c>
      <c r="K231" s="5" t="s">
        <v>279</v>
      </c>
    </row>
    <row r="232" spans="2:11" ht="15.75" hidden="1" customHeight="1" x14ac:dyDescent="0.2">
      <c r="B232" s="4" t="s">
        <v>2523</v>
      </c>
      <c r="C232" s="4"/>
      <c r="D232" s="4" t="s">
        <v>236</v>
      </c>
      <c r="E232" s="5" t="s">
        <v>5</v>
      </c>
      <c r="F232" s="4" t="s">
        <v>2955</v>
      </c>
      <c r="G232" s="14" t="s">
        <v>1204</v>
      </c>
      <c r="H232" s="6" t="s">
        <v>272</v>
      </c>
      <c r="I232" s="5" t="s">
        <v>2</v>
      </c>
      <c r="J232" s="5" t="s">
        <v>1121</v>
      </c>
      <c r="K232" s="5" t="s">
        <v>0</v>
      </c>
    </row>
    <row r="233" spans="2:11" ht="15.75" hidden="1" customHeight="1" x14ac:dyDescent="0.2">
      <c r="B233" s="4" t="s">
        <v>2523</v>
      </c>
      <c r="C233" s="4" t="s">
        <v>228</v>
      </c>
      <c r="D233" s="4" t="s">
        <v>36</v>
      </c>
      <c r="E233" s="5" t="s">
        <v>5</v>
      </c>
      <c r="F233" s="4" t="s">
        <v>2954</v>
      </c>
      <c r="G233" s="4" t="s">
        <v>273</v>
      </c>
      <c r="H233" s="6" t="s">
        <v>272</v>
      </c>
      <c r="I233" s="5" t="s">
        <v>2</v>
      </c>
      <c r="J233" s="5" t="s">
        <v>1121</v>
      </c>
      <c r="K233" s="5" t="s">
        <v>0</v>
      </c>
    </row>
    <row r="234" spans="2:11" ht="15.75" hidden="1" customHeight="1" x14ac:dyDescent="0.2">
      <c r="B234" s="4" t="s">
        <v>2523</v>
      </c>
      <c r="C234" s="4" t="s">
        <v>783</v>
      </c>
      <c r="D234" s="4" t="s">
        <v>66</v>
      </c>
      <c r="E234" s="4" t="s">
        <v>5</v>
      </c>
      <c r="F234" s="4" t="s">
        <v>2953</v>
      </c>
      <c r="G234" s="20" t="s">
        <v>348</v>
      </c>
      <c r="H234" s="6" t="s">
        <v>11</v>
      </c>
      <c r="I234" s="5" t="s">
        <v>2</v>
      </c>
      <c r="J234" s="5" t="s">
        <v>2533</v>
      </c>
      <c r="K234" s="5"/>
    </row>
    <row r="235" spans="2:11" ht="15.75" hidden="1" customHeight="1" x14ac:dyDescent="0.2">
      <c r="B235" s="4" t="s">
        <v>2523</v>
      </c>
      <c r="C235" s="4" t="s">
        <v>566</v>
      </c>
      <c r="D235" s="5" t="s">
        <v>42</v>
      </c>
      <c r="E235" s="5" t="s">
        <v>5</v>
      </c>
      <c r="F235" s="4" t="s">
        <v>2952</v>
      </c>
      <c r="G235" s="14" t="s">
        <v>11</v>
      </c>
      <c r="H235" s="6" t="s">
        <v>11</v>
      </c>
      <c r="I235" s="5" t="s">
        <v>2</v>
      </c>
      <c r="J235" s="5" t="s">
        <v>1121</v>
      </c>
      <c r="K235" s="5" t="s">
        <v>0</v>
      </c>
    </row>
    <row r="236" spans="2:11" ht="15.75" hidden="1" customHeight="1" x14ac:dyDescent="0.2">
      <c r="B236" s="4" t="s">
        <v>2523</v>
      </c>
      <c r="C236" s="4" t="s">
        <v>271</v>
      </c>
      <c r="D236" s="5" t="s">
        <v>94</v>
      </c>
      <c r="E236" s="5" t="s">
        <v>5</v>
      </c>
      <c r="F236" s="4" t="s">
        <v>2951</v>
      </c>
      <c r="G236" s="5" t="s">
        <v>435</v>
      </c>
      <c r="H236" s="6" t="s">
        <v>272</v>
      </c>
      <c r="I236" s="5" t="s">
        <v>2</v>
      </c>
      <c r="J236" s="5" t="s">
        <v>1121</v>
      </c>
      <c r="K236" s="5" t="s">
        <v>0</v>
      </c>
    </row>
    <row r="237" spans="2:11" ht="15.75" hidden="1" customHeight="1" x14ac:dyDescent="0.2">
      <c r="B237" s="4" t="s">
        <v>2523</v>
      </c>
      <c r="C237" s="4" t="s">
        <v>228</v>
      </c>
      <c r="D237" s="4" t="s">
        <v>36</v>
      </c>
      <c r="E237" s="5" t="s">
        <v>5</v>
      </c>
      <c r="F237" s="4" t="s">
        <v>2950</v>
      </c>
      <c r="G237" s="4" t="s">
        <v>273</v>
      </c>
      <c r="H237" s="6" t="s">
        <v>272</v>
      </c>
      <c r="I237" s="5" t="s">
        <v>2</v>
      </c>
      <c r="J237" s="5" t="s">
        <v>1121</v>
      </c>
      <c r="K237" s="5" t="s">
        <v>0</v>
      </c>
    </row>
    <row r="238" spans="2:11" ht="15.75" hidden="1" customHeight="1" x14ac:dyDescent="0.2">
      <c r="B238" s="4" t="s">
        <v>2523</v>
      </c>
      <c r="C238" s="4" t="s">
        <v>228</v>
      </c>
      <c r="D238" s="4" t="s">
        <v>36</v>
      </c>
      <c r="E238" s="4" t="s">
        <v>5</v>
      </c>
      <c r="F238" s="4" t="s">
        <v>2949</v>
      </c>
      <c r="G238" s="20" t="s">
        <v>348</v>
      </c>
      <c r="H238" s="6" t="s">
        <v>11</v>
      </c>
      <c r="I238" s="5" t="s">
        <v>2</v>
      </c>
      <c r="J238" s="5" t="s">
        <v>2580</v>
      </c>
      <c r="K238" s="5" t="s">
        <v>0</v>
      </c>
    </row>
    <row r="239" spans="2:11" ht="15.75" hidden="1" customHeight="1" x14ac:dyDescent="0.2">
      <c r="B239" s="4" t="s">
        <v>2523</v>
      </c>
      <c r="C239" s="4" t="s">
        <v>566</v>
      </c>
      <c r="D239" s="5" t="s">
        <v>42</v>
      </c>
      <c r="E239" s="5" t="s">
        <v>5</v>
      </c>
      <c r="F239" s="4" t="s">
        <v>2948</v>
      </c>
      <c r="G239" s="14" t="s">
        <v>11</v>
      </c>
      <c r="H239" s="6" t="s">
        <v>11</v>
      </c>
      <c r="I239" s="5" t="s">
        <v>2</v>
      </c>
      <c r="J239" s="5" t="s">
        <v>1121</v>
      </c>
      <c r="K239" s="5" t="s">
        <v>0</v>
      </c>
    </row>
    <row r="240" spans="2:11" ht="15.75" hidden="1" customHeight="1" x14ac:dyDescent="0.2">
      <c r="B240" s="4" t="s">
        <v>2523</v>
      </c>
      <c r="C240" s="4" t="s">
        <v>271</v>
      </c>
      <c r="D240" s="5" t="s">
        <v>94</v>
      </c>
      <c r="E240" s="5" t="s">
        <v>5</v>
      </c>
      <c r="F240" s="4" t="s">
        <v>2947</v>
      </c>
      <c r="G240" s="5" t="s">
        <v>435</v>
      </c>
      <c r="H240" s="6" t="s">
        <v>272</v>
      </c>
      <c r="I240" s="5" t="s">
        <v>2</v>
      </c>
      <c r="J240" s="5" t="s">
        <v>1121</v>
      </c>
      <c r="K240" s="5" t="s">
        <v>0</v>
      </c>
    </row>
    <row r="241" spans="2:11" ht="15.75" hidden="1" customHeight="1" x14ac:dyDescent="0.2">
      <c r="B241" s="4" t="s">
        <v>2523</v>
      </c>
      <c r="C241" s="4" t="s">
        <v>228</v>
      </c>
      <c r="D241" s="4" t="s">
        <v>36</v>
      </c>
      <c r="E241" s="5" t="s">
        <v>5</v>
      </c>
      <c r="F241" s="4" t="s">
        <v>2946</v>
      </c>
      <c r="G241" s="4" t="s">
        <v>273</v>
      </c>
      <c r="H241" s="6" t="s">
        <v>272</v>
      </c>
      <c r="I241" s="5" t="s">
        <v>2</v>
      </c>
      <c r="J241" s="5" t="s">
        <v>1121</v>
      </c>
      <c r="K241" s="5" t="s">
        <v>0</v>
      </c>
    </row>
    <row r="242" spans="2:11" ht="15.75" hidden="1" customHeight="1" x14ac:dyDescent="0.2">
      <c r="B242" s="4" t="s">
        <v>2523</v>
      </c>
      <c r="C242" s="4" t="s">
        <v>150</v>
      </c>
      <c r="D242" s="4" t="s">
        <v>150</v>
      </c>
      <c r="E242" s="4" t="s">
        <v>5</v>
      </c>
      <c r="F242" s="4" t="s">
        <v>2945</v>
      </c>
      <c r="G242" s="14" t="s">
        <v>11</v>
      </c>
      <c r="H242" s="6" t="s">
        <v>11</v>
      </c>
      <c r="I242" s="5" t="s">
        <v>2</v>
      </c>
      <c r="J242" s="5" t="s">
        <v>2580</v>
      </c>
      <c r="K242" s="5" t="s">
        <v>0</v>
      </c>
    </row>
    <row r="243" spans="2:11" ht="15.75" hidden="1" customHeight="1" x14ac:dyDescent="0.2">
      <c r="B243" s="4" t="s">
        <v>2523</v>
      </c>
      <c r="C243" s="4" t="s">
        <v>130</v>
      </c>
      <c r="D243" s="4" t="s">
        <v>77</v>
      </c>
      <c r="E243" s="5" t="s">
        <v>5</v>
      </c>
      <c r="F243" s="4" t="s">
        <v>2944</v>
      </c>
      <c r="G243" s="14" t="s">
        <v>348</v>
      </c>
      <c r="H243" s="6" t="s">
        <v>11</v>
      </c>
      <c r="I243" s="5" t="s">
        <v>2</v>
      </c>
      <c r="J243" s="5" t="s">
        <v>1121</v>
      </c>
      <c r="K243" s="5" t="s">
        <v>0</v>
      </c>
    </row>
    <row r="244" spans="2:11" ht="15.75" hidden="1" customHeight="1" x14ac:dyDescent="0.2">
      <c r="B244" s="4" t="s">
        <v>2523</v>
      </c>
      <c r="C244" s="4" t="s">
        <v>228</v>
      </c>
      <c r="D244" s="4" t="s">
        <v>36</v>
      </c>
      <c r="E244" s="4" t="s">
        <v>5</v>
      </c>
      <c r="F244" s="4" t="s">
        <v>2943</v>
      </c>
      <c r="G244" s="4" t="s">
        <v>273</v>
      </c>
      <c r="H244" s="6" t="s">
        <v>272</v>
      </c>
      <c r="I244" s="5" t="s">
        <v>2</v>
      </c>
      <c r="J244" s="5" t="s">
        <v>2533</v>
      </c>
      <c r="K244" s="5"/>
    </row>
    <row r="245" spans="2:11" ht="15.75" hidden="1" customHeight="1" x14ac:dyDescent="0.2">
      <c r="B245" s="4" t="s">
        <v>2523</v>
      </c>
      <c r="C245" s="4" t="s">
        <v>228</v>
      </c>
      <c r="D245" s="4" t="s">
        <v>36</v>
      </c>
      <c r="E245" s="5" t="s">
        <v>5</v>
      </c>
      <c r="F245" s="4" t="s">
        <v>2942</v>
      </c>
      <c r="G245" s="4" t="s">
        <v>273</v>
      </c>
      <c r="H245" s="6" t="s">
        <v>272</v>
      </c>
      <c r="I245" s="5" t="s">
        <v>2</v>
      </c>
      <c r="J245" s="5" t="s">
        <v>2533</v>
      </c>
      <c r="K245" s="5" t="s">
        <v>0</v>
      </c>
    </row>
    <row r="246" spans="2:11" ht="15.75" hidden="1" customHeight="1" x14ac:dyDescent="0.2">
      <c r="B246" s="4" t="s">
        <v>2523</v>
      </c>
      <c r="C246" s="4" t="s">
        <v>271</v>
      </c>
      <c r="D246" s="5" t="s">
        <v>94</v>
      </c>
      <c r="E246" s="5" t="s">
        <v>5</v>
      </c>
      <c r="F246" s="4" t="s">
        <v>2941</v>
      </c>
      <c r="G246" s="14" t="s">
        <v>11</v>
      </c>
      <c r="H246" s="6" t="s">
        <v>11</v>
      </c>
      <c r="I246" s="5" t="s">
        <v>2</v>
      </c>
      <c r="J246" s="5" t="s">
        <v>1121</v>
      </c>
      <c r="K246" s="5" t="s">
        <v>0</v>
      </c>
    </row>
    <row r="247" spans="2:11" ht="15.75" hidden="1" customHeight="1" x14ac:dyDescent="0.2">
      <c r="B247" s="4" t="s">
        <v>2523</v>
      </c>
      <c r="C247" s="4" t="s">
        <v>566</v>
      </c>
      <c r="D247" s="5" t="s">
        <v>42</v>
      </c>
      <c r="E247" s="5" t="s">
        <v>5</v>
      </c>
      <c r="F247" s="4" t="s">
        <v>2940</v>
      </c>
      <c r="G247" s="28" t="s">
        <v>11</v>
      </c>
      <c r="H247" s="6" t="s">
        <v>11</v>
      </c>
      <c r="I247" s="5" t="s">
        <v>2</v>
      </c>
      <c r="J247" s="5" t="s">
        <v>1121</v>
      </c>
      <c r="K247" s="5" t="s">
        <v>0</v>
      </c>
    </row>
    <row r="248" spans="2:11" ht="15.75" hidden="1" customHeight="1" x14ac:dyDescent="0.2">
      <c r="B248" s="4" t="s">
        <v>2523</v>
      </c>
      <c r="C248" s="4" t="s">
        <v>228</v>
      </c>
      <c r="D248" s="4" t="s">
        <v>36</v>
      </c>
      <c r="E248" s="4" t="s">
        <v>159</v>
      </c>
      <c r="F248" s="4" t="s">
        <v>2939</v>
      </c>
      <c r="G248" s="4" t="s">
        <v>273</v>
      </c>
      <c r="H248" s="6" t="s">
        <v>272</v>
      </c>
      <c r="I248" s="5" t="s">
        <v>2</v>
      </c>
      <c r="J248" s="5" t="s">
        <v>1121</v>
      </c>
      <c r="K248" s="5" t="s">
        <v>0</v>
      </c>
    </row>
    <row r="249" spans="2:11" ht="15.75" hidden="1" customHeight="1" x14ac:dyDescent="0.2">
      <c r="B249" s="4" t="s">
        <v>2523</v>
      </c>
      <c r="C249" s="4" t="s">
        <v>228</v>
      </c>
      <c r="D249" s="4" t="s">
        <v>36</v>
      </c>
      <c r="E249" s="4" t="s">
        <v>159</v>
      </c>
      <c r="F249" s="4" t="s">
        <v>2938</v>
      </c>
      <c r="G249" s="4" t="s">
        <v>273</v>
      </c>
      <c r="H249" s="6" t="s">
        <v>272</v>
      </c>
      <c r="I249" s="5" t="s">
        <v>2</v>
      </c>
      <c r="J249" s="5" t="s">
        <v>1121</v>
      </c>
      <c r="K249" s="5" t="s">
        <v>2937</v>
      </c>
    </row>
    <row r="250" spans="2:11" ht="15.75" hidden="1" customHeight="1" x14ac:dyDescent="0.2">
      <c r="B250" s="4" t="s">
        <v>2523</v>
      </c>
      <c r="C250" s="4" t="s">
        <v>228</v>
      </c>
      <c r="D250" s="4" t="s">
        <v>36</v>
      </c>
      <c r="E250" s="5" t="s">
        <v>5</v>
      </c>
      <c r="F250" s="4" t="s">
        <v>2936</v>
      </c>
      <c r="G250" s="4" t="s">
        <v>273</v>
      </c>
      <c r="H250" s="6" t="s">
        <v>272</v>
      </c>
      <c r="I250" s="5" t="s">
        <v>2</v>
      </c>
      <c r="J250" s="5" t="s">
        <v>1121</v>
      </c>
      <c r="K250" s="5" t="s">
        <v>0</v>
      </c>
    </row>
    <row r="251" spans="2:11" ht="15.75" hidden="1" customHeight="1" x14ac:dyDescent="0.2">
      <c r="B251" s="4" t="s">
        <v>2523</v>
      </c>
      <c r="C251" s="5" t="s">
        <v>111</v>
      </c>
      <c r="D251" s="5" t="s">
        <v>24</v>
      </c>
      <c r="E251" s="5" t="s">
        <v>159</v>
      </c>
      <c r="F251" s="4" t="s">
        <v>2935</v>
      </c>
      <c r="G251" s="5" t="s">
        <v>447</v>
      </c>
      <c r="H251" s="6" t="s">
        <v>272</v>
      </c>
      <c r="I251" s="5" t="s">
        <v>2</v>
      </c>
      <c r="J251" s="5" t="s">
        <v>1121</v>
      </c>
      <c r="K251" s="5" t="s">
        <v>0</v>
      </c>
    </row>
    <row r="252" spans="2:11" ht="15.75" hidden="1" customHeight="1" x14ac:dyDescent="0.2">
      <c r="B252" s="4" t="s">
        <v>2523</v>
      </c>
      <c r="C252" s="4" t="s">
        <v>228</v>
      </c>
      <c r="D252" s="4" t="s">
        <v>36</v>
      </c>
      <c r="E252" s="4" t="s">
        <v>159</v>
      </c>
      <c r="F252" s="4" t="s">
        <v>2934</v>
      </c>
      <c r="G252" s="4" t="s">
        <v>329</v>
      </c>
      <c r="H252" s="6" t="s">
        <v>272</v>
      </c>
      <c r="I252" s="5" t="s">
        <v>2</v>
      </c>
      <c r="J252" s="5" t="s">
        <v>2533</v>
      </c>
      <c r="K252" s="5" t="s">
        <v>0</v>
      </c>
    </row>
    <row r="253" spans="2:11" ht="15.75" hidden="1" customHeight="1" x14ac:dyDescent="0.2">
      <c r="B253" s="4" t="s">
        <v>2523</v>
      </c>
      <c r="C253" s="4" t="s">
        <v>228</v>
      </c>
      <c r="D253" s="4" t="s">
        <v>36</v>
      </c>
      <c r="E253" s="5" t="s">
        <v>5</v>
      </c>
      <c r="F253" s="4" t="s">
        <v>2933</v>
      </c>
      <c r="G253" s="4" t="s">
        <v>329</v>
      </c>
      <c r="H253" s="6" t="s">
        <v>272</v>
      </c>
      <c r="I253" s="5" t="s">
        <v>2</v>
      </c>
      <c r="J253" s="5" t="s">
        <v>1121</v>
      </c>
      <c r="K253" s="5" t="s">
        <v>0</v>
      </c>
    </row>
    <row r="254" spans="2:11" ht="15.75" hidden="1" customHeight="1" x14ac:dyDescent="0.2">
      <c r="B254" s="4" t="s">
        <v>2523</v>
      </c>
      <c r="C254" s="4" t="s">
        <v>271</v>
      </c>
      <c r="D254" s="5" t="s">
        <v>94</v>
      </c>
      <c r="E254" s="5" t="s">
        <v>159</v>
      </c>
      <c r="F254" s="4" t="s">
        <v>2932</v>
      </c>
      <c r="G254" s="14" t="s">
        <v>11</v>
      </c>
      <c r="H254" s="6" t="s">
        <v>11</v>
      </c>
      <c r="I254" s="5" t="s">
        <v>2</v>
      </c>
      <c r="J254" s="5" t="s">
        <v>1121</v>
      </c>
      <c r="K254" s="5" t="s">
        <v>0</v>
      </c>
    </row>
    <row r="255" spans="2:11" ht="15.75" hidden="1" customHeight="1" x14ac:dyDescent="0.2">
      <c r="B255" s="4" t="s">
        <v>2523</v>
      </c>
      <c r="C255" s="4" t="s">
        <v>228</v>
      </c>
      <c r="D255" s="4" t="s">
        <v>36</v>
      </c>
      <c r="E255" s="5" t="s">
        <v>5</v>
      </c>
      <c r="F255" s="4" t="s">
        <v>2931</v>
      </c>
      <c r="G255" s="4" t="s">
        <v>329</v>
      </c>
      <c r="H255" s="6" t="s">
        <v>272</v>
      </c>
      <c r="I255" s="5" t="s">
        <v>2</v>
      </c>
      <c r="J255" s="5" t="s">
        <v>1121</v>
      </c>
      <c r="K255" s="5" t="s">
        <v>0</v>
      </c>
    </row>
    <row r="256" spans="2:11" ht="15.75" hidden="1" customHeight="1" x14ac:dyDescent="0.2">
      <c r="B256" s="4" t="s">
        <v>2523</v>
      </c>
      <c r="C256" s="4"/>
      <c r="D256" s="4"/>
      <c r="E256" s="4" t="s">
        <v>23</v>
      </c>
      <c r="F256" s="4" t="s">
        <v>2930</v>
      </c>
      <c r="G256" s="20" t="s">
        <v>3</v>
      </c>
      <c r="H256" s="6" t="s">
        <v>3</v>
      </c>
      <c r="I256" s="5" t="s">
        <v>2</v>
      </c>
      <c r="J256" s="5" t="s">
        <v>2533</v>
      </c>
      <c r="K256" s="5" t="s">
        <v>0</v>
      </c>
    </row>
    <row r="257" spans="2:11" ht="15.75" hidden="1" customHeight="1" x14ac:dyDescent="0.2">
      <c r="B257" s="4" t="s">
        <v>2523</v>
      </c>
      <c r="C257" s="4" t="s">
        <v>228</v>
      </c>
      <c r="D257" s="4" t="s">
        <v>36</v>
      </c>
      <c r="E257" s="5" t="s">
        <v>5</v>
      </c>
      <c r="F257" s="4" t="s">
        <v>2929</v>
      </c>
      <c r="G257" s="4" t="s">
        <v>273</v>
      </c>
      <c r="H257" s="6" t="s">
        <v>272</v>
      </c>
      <c r="I257" s="5" t="s">
        <v>2</v>
      </c>
      <c r="J257" s="5" t="s">
        <v>1121</v>
      </c>
      <c r="K257" s="5" t="s">
        <v>0</v>
      </c>
    </row>
    <row r="258" spans="2:11" ht="15.75" hidden="1" customHeight="1" x14ac:dyDescent="0.2">
      <c r="B258" s="4" t="s">
        <v>2523</v>
      </c>
      <c r="C258" s="4" t="s">
        <v>228</v>
      </c>
      <c r="D258" s="4" t="s">
        <v>36</v>
      </c>
      <c r="E258" s="4" t="s">
        <v>159</v>
      </c>
      <c r="F258" s="4" t="s">
        <v>2928</v>
      </c>
      <c r="G258" s="4" t="s">
        <v>273</v>
      </c>
      <c r="H258" s="6" t="s">
        <v>272</v>
      </c>
      <c r="I258" s="5" t="s">
        <v>2</v>
      </c>
      <c r="J258" s="5" t="s">
        <v>2533</v>
      </c>
      <c r="K258" s="5" t="s">
        <v>0</v>
      </c>
    </row>
    <row r="259" spans="2:11" ht="15.75" hidden="1" customHeight="1" x14ac:dyDescent="0.2">
      <c r="B259" s="4" t="s">
        <v>2523</v>
      </c>
      <c r="C259" s="4" t="s">
        <v>228</v>
      </c>
      <c r="D259" s="4" t="s">
        <v>36</v>
      </c>
      <c r="E259" s="5" t="s">
        <v>5</v>
      </c>
      <c r="F259" s="4" t="s">
        <v>2927</v>
      </c>
      <c r="G259" s="4" t="s">
        <v>273</v>
      </c>
      <c r="H259" s="6" t="s">
        <v>272</v>
      </c>
      <c r="I259" s="5" t="s">
        <v>2</v>
      </c>
      <c r="J259" s="5" t="s">
        <v>1121</v>
      </c>
      <c r="K259" s="5" t="s">
        <v>0</v>
      </c>
    </row>
    <row r="260" spans="2:11" ht="15.75" hidden="1" customHeight="1" x14ac:dyDescent="0.2">
      <c r="B260" s="4" t="s">
        <v>2523</v>
      </c>
      <c r="C260" s="4" t="s">
        <v>228</v>
      </c>
      <c r="D260" s="4" t="s">
        <v>36</v>
      </c>
      <c r="E260" s="5" t="s">
        <v>5</v>
      </c>
      <c r="F260" s="4" t="s">
        <v>2926</v>
      </c>
      <c r="G260" s="4" t="s">
        <v>273</v>
      </c>
      <c r="H260" s="6" t="s">
        <v>272</v>
      </c>
      <c r="I260" s="5" t="s">
        <v>2</v>
      </c>
      <c r="J260" s="5" t="s">
        <v>1121</v>
      </c>
      <c r="K260" s="5" t="s">
        <v>0</v>
      </c>
    </row>
    <row r="261" spans="2:11" ht="15.75" hidden="1" customHeight="1" x14ac:dyDescent="0.2">
      <c r="B261" s="4" t="s">
        <v>2523</v>
      </c>
      <c r="C261" s="4" t="s">
        <v>228</v>
      </c>
      <c r="D261" s="4" t="s">
        <v>36</v>
      </c>
      <c r="E261" s="4" t="s">
        <v>159</v>
      </c>
      <c r="F261" s="4" t="s">
        <v>2925</v>
      </c>
      <c r="G261" s="4" t="s">
        <v>273</v>
      </c>
      <c r="H261" s="6" t="s">
        <v>272</v>
      </c>
      <c r="I261" s="5" t="s">
        <v>2</v>
      </c>
      <c r="J261" s="5" t="s">
        <v>1121</v>
      </c>
      <c r="K261" s="5" t="s">
        <v>0</v>
      </c>
    </row>
    <row r="262" spans="2:11" ht="15.75" hidden="1" customHeight="1" x14ac:dyDescent="0.2">
      <c r="B262" s="4" t="s">
        <v>2523</v>
      </c>
      <c r="C262" s="4" t="s">
        <v>228</v>
      </c>
      <c r="D262" s="4" t="s">
        <v>36</v>
      </c>
      <c r="E262" s="5" t="s">
        <v>5</v>
      </c>
      <c r="F262" s="4" t="s">
        <v>2924</v>
      </c>
      <c r="G262" s="4" t="s">
        <v>273</v>
      </c>
      <c r="H262" s="6" t="s">
        <v>272</v>
      </c>
      <c r="I262" s="5" t="s">
        <v>2</v>
      </c>
      <c r="J262" s="5" t="s">
        <v>1121</v>
      </c>
      <c r="K262" s="5" t="s">
        <v>0</v>
      </c>
    </row>
    <row r="263" spans="2:11" ht="15.75" hidden="1" customHeight="1" x14ac:dyDescent="0.2">
      <c r="B263" s="4" t="s">
        <v>2523</v>
      </c>
      <c r="C263" s="4" t="s">
        <v>594</v>
      </c>
      <c r="D263" s="4" t="s">
        <v>66</v>
      </c>
      <c r="E263" s="5" t="s">
        <v>5</v>
      </c>
      <c r="F263" s="4" t="s">
        <v>2923</v>
      </c>
      <c r="G263" s="14" t="s">
        <v>348</v>
      </c>
      <c r="H263" s="6" t="s">
        <v>11</v>
      </c>
      <c r="I263" s="5" t="s">
        <v>2</v>
      </c>
      <c r="J263" s="5" t="s">
        <v>1121</v>
      </c>
      <c r="K263" s="5" t="s">
        <v>0</v>
      </c>
    </row>
    <row r="264" spans="2:11" ht="15.75" hidden="1" customHeight="1" x14ac:dyDescent="0.2">
      <c r="B264" s="4" t="s">
        <v>2523</v>
      </c>
      <c r="C264" s="4" t="s">
        <v>228</v>
      </c>
      <c r="D264" s="4" t="s">
        <v>36</v>
      </c>
      <c r="E264" s="5" t="s">
        <v>5</v>
      </c>
      <c r="F264" s="4" t="s">
        <v>2922</v>
      </c>
      <c r="G264" s="4" t="s">
        <v>273</v>
      </c>
      <c r="H264" s="6" t="s">
        <v>272</v>
      </c>
      <c r="I264" s="5" t="s">
        <v>2</v>
      </c>
      <c r="J264" s="5" t="s">
        <v>1121</v>
      </c>
      <c r="K264" s="5" t="s">
        <v>0</v>
      </c>
    </row>
    <row r="265" spans="2:11" ht="15.75" hidden="1" customHeight="1" x14ac:dyDescent="0.2">
      <c r="B265" s="4" t="s">
        <v>2523</v>
      </c>
      <c r="C265" s="4" t="s">
        <v>228</v>
      </c>
      <c r="D265" s="4" t="s">
        <v>36</v>
      </c>
      <c r="E265" s="5" t="s">
        <v>5</v>
      </c>
      <c r="F265" s="4" t="s">
        <v>2921</v>
      </c>
      <c r="G265" s="4" t="s">
        <v>273</v>
      </c>
      <c r="H265" s="6" t="s">
        <v>272</v>
      </c>
      <c r="I265" s="5" t="s">
        <v>2</v>
      </c>
      <c r="J265" s="5" t="s">
        <v>1121</v>
      </c>
      <c r="K265" s="5" t="s">
        <v>0</v>
      </c>
    </row>
    <row r="266" spans="2:11" ht="15.75" hidden="1" customHeight="1" x14ac:dyDescent="0.2">
      <c r="B266" s="4" t="s">
        <v>2523</v>
      </c>
      <c r="C266" s="4" t="s">
        <v>228</v>
      </c>
      <c r="D266" s="4" t="s">
        <v>36</v>
      </c>
      <c r="E266" s="4" t="s">
        <v>159</v>
      </c>
      <c r="F266" s="4" t="s">
        <v>2920</v>
      </c>
      <c r="G266" s="4" t="s">
        <v>273</v>
      </c>
      <c r="H266" s="6" t="s">
        <v>272</v>
      </c>
      <c r="I266" s="5" t="s">
        <v>2</v>
      </c>
      <c r="J266" s="5" t="s">
        <v>1121</v>
      </c>
      <c r="K266" s="5" t="s">
        <v>0</v>
      </c>
    </row>
    <row r="267" spans="2:11" ht="15.75" hidden="1" customHeight="1" x14ac:dyDescent="0.2">
      <c r="B267" s="4" t="s">
        <v>2523</v>
      </c>
      <c r="C267" s="4" t="s">
        <v>566</v>
      </c>
      <c r="D267" s="5" t="s">
        <v>42</v>
      </c>
      <c r="E267" s="5" t="s">
        <v>23</v>
      </c>
      <c r="F267" s="4" t="s">
        <v>2919</v>
      </c>
      <c r="G267" s="14" t="s">
        <v>3</v>
      </c>
      <c r="H267" s="6" t="s">
        <v>3</v>
      </c>
      <c r="I267" s="5" t="s">
        <v>2</v>
      </c>
      <c r="J267" s="5" t="s">
        <v>2728</v>
      </c>
      <c r="K267" s="5" t="s">
        <v>0</v>
      </c>
    </row>
    <row r="268" spans="2:11" ht="15.75" hidden="1" customHeight="1" x14ac:dyDescent="0.2">
      <c r="B268" s="4" t="s">
        <v>2523</v>
      </c>
      <c r="C268" s="4" t="s">
        <v>566</v>
      </c>
      <c r="D268" s="4" t="s">
        <v>42</v>
      </c>
      <c r="E268" s="4" t="s">
        <v>55</v>
      </c>
      <c r="F268" s="4" t="s">
        <v>2918</v>
      </c>
      <c r="G268" s="14" t="s">
        <v>3</v>
      </c>
      <c r="H268" s="6" t="s">
        <v>3</v>
      </c>
      <c r="I268" s="5" t="s">
        <v>2</v>
      </c>
      <c r="J268" s="5" t="s">
        <v>2533</v>
      </c>
      <c r="K268" s="5" t="s">
        <v>0</v>
      </c>
    </row>
    <row r="269" spans="2:11" ht="15.75" hidden="1" customHeight="1" x14ac:dyDescent="0.2">
      <c r="B269" s="4" t="s">
        <v>2523</v>
      </c>
      <c r="C269" s="4"/>
      <c r="D269" s="4" t="s">
        <v>236</v>
      </c>
      <c r="E269" s="4" t="s">
        <v>159</v>
      </c>
      <c r="F269" s="4" t="s">
        <v>2917</v>
      </c>
      <c r="G269" s="14" t="s">
        <v>348</v>
      </c>
      <c r="H269" s="6" t="s">
        <v>11</v>
      </c>
      <c r="I269" s="5" t="s">
        <v>2</v>
      </c>
      <c r="J269" s="5" t="s">
        <v>1121</v>
      </c>
      <c r="K269" s="5" t="s">
        <v>75</v>
      </c>
    </row>
    <row r="270" spans="2:11" ht="15.75" hidden="1" customHeight="1" x14ac:dyDescent="0.2">
      <c r="B270" s="4" t="s">
        <v>2523</v>
      </c>
      <c r="C270" s="4"/>
      <c r="D270" s="4" t="s">
        <v>18</v>
      </c>
      <c r="E270" s="4" t="s">
        <v>5</v>
      </c>
      <c r="F270" s="4" t="s">
        <v>2916</v>
      </c>
      <c r="G270" s="14" t="s">
        <v>11</v>
      </c>
      <c r="H270" s="6" t="s">
        <v>11</v>
      </c>
      <c r="I270" s="4" t="s">
        <v>2</v>
      </c>
      <c r="J270" s="4" t="s">
        <v>2525</v>
      </c>
      <c r="K270" s="4" t="s">
        <v>0</v>
      </c>
    </row>
    <row r="271" spans="2:11" ht="15.75" hidden="1" customHeight="1" x14ac:dyDescent="0.2">
      <c r="B271" s="4" t="s">
        <v>2523</v>
      </c>
      <c r="C271" s="4" t="s">
        <v>228</v>
      </c>
      <c r="D271" s="4" t="s">
        <v>36</v>
      </c>
      <c r="E271" s="5" t="s">
        <v>5</v>
      </c>
      <c r="F271" s="4" t="s">
        <v>2915</v>
      </c>
      <c r="G271" s="4" t="s">
        <v>273</v>
      </c>
      <c r="H271" s="6" t="s">
        <v>272</v>
      </c>
      <c r="I271" s="5" t="s">
        <v>2</v>
      </c>
      <c r="J271" s="5" t="s">
        <v>1121</v>
      </c>
      <c r="K271" s="5" t="s">
        <v>0</v>
      </c>
    </row>
    <row r="272" spans="2:11" ht="15.75" hidden="1" customHeight="1" x14ac:dyDescent="0.2">
      <c r="B272" s="4" t="s">
        <v>2523</v>
      </c>
      <c r="C272" s="4" t="s">
        <v>228</v>
      </c>
      <c r="D272" s="4" t="s">
        <v>36</v>
      </c>
      <c r="E272" s="5" t="s">
        <v>5</v>
      </c>
      <c r="F272" s="4" t="s">
        <v>2914</v>
      </c>
      <c r="G272" s="4" t="s">
        <v>273</v>
      </c>
      <c r="H272" s="6" t="s">
        <v>272</v>
      </c>
      <c r="I272" s="5" t="s">
        <v>2</v>
      </c>
      <c r="J272" s="5" t="s">
        <v>1121</v>
      </c>
      <c r="K272" s="5" t="s">
        <v>0</v>
      </c>
    </row>
    <row r="273" spans="2:11" ht="15.75" hidden="1" customHeight="1" x14ac:dyDescent="0.2">
      <c r="B273" s="4" t="s">
        <v>2523</v>
      </c>
      <c r="C273" s="4" t="s">
        <v>566</v>
      </c>
      <c r="D273" s="4" t="s">
        <v>42</v>
      </c>
      <c r="E273" s="4" t="s">
        <v>5</v>
      </c>
      <c r="F273" s="4" t="s">
        <v>2913</v>
      </c>
      <c r="G273" s="14" t="s">
        <v>11</v>
      </c>
      <c r="H273" s="6" t="s">
        <v>11</v>
      </c>
      <c r="I273" s="5" t="s">
        <v>2</v>
      </c>
      <c r="J273" s="5" t="s">
        <v>2580</v>
      </c>
      <c r="K273" s="5" t="s">
        <v>0</v>
      </c>
    </row>
    <row r="274" spans="2:11" ht="15.75" hidden="1" customHeight="1" x14ac:dyDescent="0.2">
      <c r="B274" s="4" t="s">
        <v>2523</v>
      </c>
      <c r="C274" s="4" t="s">
        <v>228</v>
      </c>
      <c r="D274" s="4" t="s">
        <v>36</v>
      </c>
      <c r="E274" s="5" t="s">
        <v>5</v>
      </c>
      <c r="F274" s="4" t="s">
        <v>2912</v>
      </c>
      <c r="G274" s="4" t="s">
        <v>273</v>
      </c>
      <c r="H274" s="6" t="s">
        <v>272</v>
      </c>
      <c r="I274" s="5" t="s">
        <v>2</v>
      </c>
      <c r="J274" s="5" t="s">
        <v>1121</v>
      </c>
      <c r="K274" s="5" t="s">
        <v>0</v>
      </c>
    </row>
    <row r="275" spans="2:11" ht="15.75" hidden="1" customHeight="1" x14ac:dyDescent="0.2">
      <c r="B275" s="4" t="s">
        <v>2523</v>
      </c>
      <c r="C275" s="4" t="s">
        <v>228</v>
      </c>
      <c r="D275" s="4" t="s">
        <v>36</v>
      </c>
      <c r="E275" s="5" t="s">
        <v>5</v>
      </c>
      <c r="F275" s="4" t="s">
        <v>2911</v>
      </c>
      <c r="G275" s="4" t="s">
        <v>273</v>
      </c>
      <c r="H275" s="6" t="s">
        <v>272</v>
      </c>
      <c r="I275" s="5" t="s">
        <v>2</v>
      </c>
      <c r="J275" s="5" t="s">
        <v>1121</v>
      </c>
      <c r="K275" s="5" t="s">
        <v>0</v>
      </c>
    </row>
    <row r="276" spans="2:11" ht="15.75" hidden="1" customHeight="1" x14ac:dyDescent="0.2">
      <c r="B276" s="4" t="s">
        <v>2523</v>
      </c>
      <c r="C276" s="4" t="s">
        <v>228</v>
      </c>
      <c r="D276" s="4" t="s">
        <v>36</v>
      </c>
      <c r="E276" s="5" t="s">
        <v>23</v>
      </c>
      <c r="F276" s="4" t="s">
        <v>2910</v>
      </c>
      <c r="G276" s="4" t="s">
        <v>273</v>
      </c>
      <c r="H276" s="6" t="s">
        <v>272</v>
      </c>
      <c r="I276" s="5" t="s">
        <v>2</v>
      </c>
      <c r="J276" s="5" t="s">
        <v>1121</v>
      </c>
      <c r="K276" s="5" t="s">
        <v>0</v>
      </c>
    </row>
    <row r="277" spans="2:11" ht="15.75" hidden="1" customHeight="1" x14ac:dyDescent="0.2">
      <c r="B277" s="4" t="s">
        <v>2523</v>
      </c>
      <c r="C277" s="4" t="s">
        <v>228</v>
      </c>
      <c r="D277" s="4" t="s">
        <v>36</v>
      </c>
      <c r="E277" s="5" t="s">
        <v>5</v>
      </c>
      <c r="F277" s="4" t="s">
        <v>2909</v>
      </c>
      <c r="G277" s="4" t="s">
        <v>273</v>
      </c>
      <c r="H277" s="6" t="s">
        <v>272</v>
      </c>
      <c r="I277" s="5" t="s">
        <v>2</v>
      </c>
      <c r="J277" s="5" t="s">
        <v>1121</v>
      </c>
      <c r="K277" s="5" t="s">
        <v>0</v>
      </c>
    </row>
    <row r="278" spans="2:11" ht="15.75" hidden="1" customHeight="1" x14ac:dyDescent="0.2">
      <c r="B278" s="4" t="s">
        <v>2523</v>
      </c>
      <c r="C278" s="4" t="s">
        <v>228</v>
      </c>
      <c r="D278" s="4" t="s">
        <v>36</v>
      </c>
      <c r="E278" s="5" t="s">
        <v>5</v>
      </c>
      <c r="F278" s="4" t="s">
        <v>2908</v>
      </c>
      <c r="G278" s="4" t="s">
        <v>273</v>
      </c>
      <c r="H278" s="6" t="s">
        <v>272</v>
      </c>
      <c r="I278" s="5" t="s">
        <v>2</v>
      </c>
      <c r="J278" s="5" t="s">
        <v>1121</v>
      </c>
      <c r="K278" s="5" t="s">
        <v>0</v>
      </c>
    </row>
    <row r="279" spans="2:11" ht="15.75" hidden="1" customHeight="1" x14ac:dyDescent="0.2">
      <c r="B279" s="4" t="s">
        <v>2523</v>
      </c>
      <c r="C279" s="4" t="s">
        <v>228</v>
      </c>
      <c r="D279" s="4" t="s">
        <v>36</v>
      </c>
      <c r="E279" s="5" t="s">
        <v>5</v>
      </c>
      <c r="F279" s="4" t="s">
        <v>2907</v>
      </c>
      <c r="G279" s="4" t="s">
        <v>273</v>
      </c>
      <c r="H279" s="6" t="s">
        <v>272</v>
      </c>
      <c r="I279" s="5" t="s">
        <v>2</v>
      </c>
      <c r="J279" s="5" t="s">
        <v>1121</v>
      </c>
      <c r="K279" s="5" t="s">
        <v>0</v>
      </c>
    </row>
    <row r="280" spans="2:11" ht="15.75" hidden="1" customHeight="1" x14ac:dyDescent="0.2">
      <c r="B280" s="4" t="s">
        <v>2523</v>
      </c>
      <c r="C280" s="4" t="s">
        <v>228</v>
      </c>
      <c r="D280" s="4" t="s">
        <v>36</v>
      </c>
      <c r="E280" s="5" t="s">
        <v>5</v>
      </c>
      <c r="F280" s="4" t="s">
        <v>2906</v>
      </c>
      <c r="G280" s="4" t="s">
        <v>273</v>
      </c>
      <c r="H280" s="6" t="s">
        <v>272</v>
      </c>
      <c r="I280" s="5" t="s">
        <v>2</v>
      </c>
      <c r="J280" s="5" t="s">
        <v>1121</v>
      </c>
      <c r="K280" s="5" t="s">
        <v>0</v>
      </c>
    </row>
    <row r="281" spans="2:11" ht="15.75" hidden="1" customHeight="1" x14ac:dyDescent="0.2">
      <c r="B281" s="4" t="s">
        <v>2523</v>
      </c>
      <c r="C281" s="4" t="s">
        <v>228</v>
      </c>
      <c r="D281" s="4" t="s">
        <v>36</v>
      </c>
      <c r="E281" s="5" t="s">
        <v>5</v>
      </c>
      <c r="F281" s="4" t="s">
        <v>2905</v>
      </c>
      <c r="G281" s="4" t="s">
        <v>273</v>
      </c>
      <c r="H281" s="6" t="s">
        <v>272</v>
      </c>
      <c r="I281" s="5" t="s">
        <v>2</v>
      </c>
      <c r="J281" s="5" t="s">
        <v>1121</v>
      </c>
      <c r="K281" s="5" t="s">
        <v>0</v>
      </c>
    </row>
    <row r="282" spans="2:11" ht="15.75" hidden="1" customHeight="1" x14ac:dyDescent="0.2">
      <c r="B282" s="4" t="s">
        <v>2523</v>
      </c>
      <c r="C282" s="4" t="s">
        <v>228</v>
      </c>
      <c r="D282" s="4" t="s">
        <v>36</v>
      </c>
      <c r="E282" s="5" t="s">
        <v>5</v>
      </c>
      <c r="F282" s="4" t="s">
        <v>2904</v>
      </c>
      <c r="G282" s="4" t="s">
        <v>273</v>
      </c>
      <c r="H282" s="6" t="s">
        <v>272</v>
      </c>
      <c r="I282" s="5" t="s">
        <v>2</v>
      </c>
      <c r="J282" s="5" t="s">
        <v>1121</v>
      </c>
      <c r="K282" s="5" t="s">
        <v>0</v>
      </c>
    </row>
    <row r="283" spans="2:11" ht="15.75" hidden="1" customHeight="1" x14ac:dyDescent="0.2">
      <c r="B283" s="4" t="s">
        <v>2523</v>
      </c>
      <c r="C283" s="4" t="s">
        <v>228</v>
      </c>
      <c r="D283" s="4" t="s">
        <v>36</v>
      </c>
      <c r="E283" s="5" t="s">
        <v>5</v>
      </c>
      <c r="F283" s="4" t="s">
        <v>2903</v>
      </c>
      <c r="G283" s="4" t="s">
        <v>273</v>
      </c>
      <c r="H283" s="6" t="s">
        <v>272</v>
      </c>
      <c r="I283" s="5" t="s">
        <v>2</v>
      </c>
      <c r="J283" s="5" t="s">
        <v>1121</v>
      </c>
      <c r="K283" s="5" t="s">
        <v>0</v>
      </c>
    </row>
    <row r="284" spans="2:11" ht="15.75" hidden="1" customHeight="1" x14ac:dyDescent="0.2">
      <c r="B284" s="4" t="s">
        <v>2523</v>
      </c>
      <c r="C284" s="4" t="s">
        <v>228</v>
      </c>
      <c r="D284" s="4" t="s">
        <v>36</v>
      </c>
      <c r="E284" s="4" t="s">
        <v>159</v>
      </c>
      <c r="F284" s="4" t="s">
        <v>2902</v>
      </c>
      <c r="G284" s="4" t="s">
        <v>273</v>
      </c>
      <c r="H284" s="6" t="s">
        <v>272</v>
      </c>
      <c r="I284" s="5" t="s">
        <v>2</v>
      </c>
      <c r="J284" s="5" t="s">
        <v>2533</v>
      </c>
      <c r="K284" s="5" t="s">
        <v>0</v>
      </c>
    </row>
    <row r="285" spans="2:11" ht="15.75" hidden="1" customHeight="1" x14ac:dyDescent="0.2">
      <c r="B285" s="4" t="s">
        <v>2523</v>
      </c>
      <c r="C285" s="4" t="s">
        <v>228</v>
      </c>
      <c r="D285" s="4" t="s">
        <v>36</v>
      </c>
      <c r="E285" s="4" t="s">
        <v>159</v>
      </c>
      <c r="F285" s="4" t="s">
        <v>2901</v>
      </c>
      <c r="G285" s="20" t="s">
        <v>348</v>
      </c>
      <c r="H285" s="6" t="s">
        <v>11</v>
      </c>
      <c r="I285" s="5" t="s">
        <v>2</v>
      </c>
      <c r="J285" s="5" t="s">
        <v>2580</v>
      </c>
      <c r="K285" s="5" t="s">
        <v>0</v>
      </c>
    </row>
    <row r="286" spans="2:11" ht="15.75" hidden="1" customHeight="1" x14ac:dyDescent="0.2">
      <c r="B286" s="4" t="s">
        <v>2523</v>
      </c>
      <c r="C286" s="4" t="s">
        <v>228</v>
      </c>
      <c r="D286" s="4" t="s">
        <v>36</v>
      </c>
      <c r="E286" s="4" t="s">
        <v>5</v>
      </c>
      <c r="F286" s="4" t="s">
        <v>2900</v>
      </c>
      <c r="G286" s="4" t="s">
        <v>329</v>
      </c>
      <c r="H286" s="6" t="s">
        <v>272</v>
      </c>
      <c r="I286" s="5" t="s">
        <v>2</v>
      </c>
      <c r="J286" s="5" t="s">
        <v>1121</v>
      </c>
      <c r="K286" s="5" t="s">
        <v>0</v>
      </c>
    </row>
    <row r="287" spans="2:11" ht="15.75" hidden="1" customHeight="1" x14ac:dyDescent="0.2">
      <c r="B287" s="4" t="s">
        <v>2523</v>
      </c>
      <c r="C287" s="4" t="s">
        <v>228</v>
      </c>
      <c r="D287" s="4" t="s">
        <v>36</v>
      </c>
      <c r="E287" s="4" t="s">
        <v>159</v>
      </c>
      <c r="F287" s="4" t="s">
        <v>2899</v>
      </c>
      <c r="G287" s="4" t="s">
        <v>273</v>
      </c>
      <c r="H287" s="6" t="s">
        <v>272</v>
      </c>
      <c r="I287" s="5" t="s">
        <v>2</v>
      </c>
      <c r="J287" s="5" t="s">
        <v>1121</v>
      </c>
      <c r="K287" s="5" t="s">
        <v>0</v>
      </c>
    </row>
    <row r="288" spans="2:11" ht="15.75" hidden="1" customHeight="1" x14ac:dyDescent="0.2">
      <c r="B288" s="4" t="s">
        <v>2523</v>
      </c>
      <c r="C288" s="4" t="s">
        <v>228</v>
      </c>
      <c r="D288" s="4" t="s">
        <v>36</v>
      </c>
      <c r="E288" s="5" t="s">
        <v>55</v>
      </c>
      <c r="F288" s="4" t="s">
        <v>2898</v>
      </c>
      <c r="G288" s="4" t="s">
        <v>273</v>
      </c>
      <c r="H288" s="6" t="s">
        <v>272</v>
      </c>
      <c r="I288" s="5" t="s">
        <v>2</v>
      </c>
      <c r="J288" s="5" t="s">
        <v>1121</v>
      </c>
      <c r="K288" s="5" t="s">
        <v>0</v>
      </c>
    </row>
    <row r="289" spans="2:11" ht="15.75" hidden="1" customHeight="1" x14ac:dyDescent="0.2">
      <c r="B289" s="4" t="s">
        <v>2523</v>
      </c>
      <c r="C289" s="4" t="s">
        <v>228</v>
      </c>
      <c r="D289" s="4" t="s">
        <v>36</v>
      </c>
      <c r="E289" s="4" t="s">
        <v>159</v>
      </c>
      <c r="F289" s="4" t="s">
        <v>2897</v>
      </c>
      <c r="G289" s="4" t="s">
        <v>273</v>
      </c>
      <c r="H289" s="6" t="s">
        <v>272</v>
      </c>
      <c r="I289" s="5" t="s">
        <v>2</v>
      </c>
      <c r="J289" s="5" t="s">
        <v>1121</v>
      </c>
      <c r="K289" s="5" t="s">
        <v>0</v>
      </c>
    </row>
    <row r="290" spans="2:11" ht="15.75" hidden="1" customHeight="1" x14ac:dyDescent="0.2">
      <c r="B290" s="4" t="s">
        <v>2523</v>
      </c>
      <c r="C290" s="4" t="s">
        <v>228</v>
      </c>
      <c r="D290" s="4" t="s">
        <v>36</v>
      </c>
      <c r="E290" s="5" t="s">
        <v>5</v>
      </c>
      <c r="F290" s="4" t="s">
        <v>2896</v>
      </c>
      <c r="G290" s="4" t="s">
        <v>273</v>
      </c>
      <c r="H290" s="6" t="s">
        <v>272</v>
      </c>
      <c r="I290" s="5" t="s">
        <v>2</v>
      </c>
      <c r="J290" s="5" t="s">
        <v>1121</v>
      </c>
      <c r="K290" s="5" t="s">
        <v>0</v>
      </c>
    </row>
    <row r="291" spans="2:11" ht="15.75" hidden="1" customHeight="1" x14ac:dyDescent="0.2">
      <c r="B291" s="4" t="s">
        <v>2523</v>
      </c>
      <c r="C291" s="4" t="s">
        <v>104</v>
      </c>
      <c r="D291" s="4" t="s">
        <v>18</v>
      </c>
      <c r="E291" s="4" t="s">
        <v>159</v>
      </c>
      <c r="F291" s="4" t="s">
        <v>2895</v>
      </c>
      <c r="G291" s="14" t="s">
        <v>11</v>
      </c>
      <c r="H291" s="6" t="s">
        <v>11</v>
      </c>
      <c r="I291" s="5" t="s">
        <v>2</v>
      </c>
      <c r="J291" s="5" t="s">
        <v>2580</v>
      </c>
      <c r="K291" s="5" t="s">
        <v>0</v>
      </c>
    </row>
    <row r="292" spans="2:11" ht="15.75" hidden="1" customHeight="1" x14ac:dyDescent="0.2">
      <c r="B292" s="4" t="s">
        <v>2523</v>
      </c>
      <c r="C292" s="4" t="s">
        <v>228</v>
      </c>
      <c r="D292" s="4" t="s">
        <v>36</v>
      </c>
      <c r="E292" s="4" t="s">
        <v>23</v>
      </c>
      <c r="F292" s="4" t="s">
        <v>2894</v>
      </c>
      <c r="G292" s="4" t="s">
        <v>273</v>
      </c>
      <c r="H292" s="6" t="s">
        <v>272</v>
      </c>
      <c r="I292" s="5" t="s">
        <v>2</v>
      </c>
      <c r="J292" s="5" t="s">
        <v>2533</v>
      </c>
      <c r="K292" s="5" t="s">
        <v>0</v>
      </c>
    </row>
    <row r="293" spans="2:11" ht="15.75" hidden="1" customHeight="1" x14ac:dyDescent="0.2">
      <c r="B293" s="4" t="s">
        <v>2523</v>
      </c>
      <c r="C293" s="4" t="s">
        <v>228</v>
      </c>
      <c r="D293" s="4" t="s">
        <v>36</v>
      </c>
      <c r="E293" s="4" t="s">
        <v>159</v>
      </c>
      <c r="F293" s="4" t="s">
        <v>2893</v>
      </c>
      <c r="G293" s="4" t="s">
        <v>273</v>
      </c>
      <c r="H293" s="6" t="s">
        <v>272</v>
      </c>
      <c r="I293" s="5" t="s">
        <v>2</v>
      </c>
      <c r="J293" s="5" t="s">
        <v>2580</v>
      </c>
      <c r="K293" s="5" t="s">
        <v>0</v>
      </c>
    </row>
    <row r="294" spans="2:11" ht="15.75" hidden="1" customHeight="1" x14ac:dyDescent="0.2">
      <c r="B294" s="4" t="s">
        <v>2523</v>
      </c>
      <c r="C294" s="4" t="s">
        <v>228</v>
      </c>
      <c r="D294" s="4" t="s">
        <v>36</v>
      </c>
      <c r="E294" s="5" t="s">
        <v>5</v>
      </c>
      <c r="F294" s="4" t="s">
        <v>2892</v>
      </c>
      <c r="G294" s="4" t="s">
        <v>273</v>
      </c>
      <c r="H294" s="6" t="s">
        <v>272</v>
      </c>
      <c r="I294" s="5" t="s">
        <v>2</v>
      </c>
      <c r="J294" s="5" t="s">
        <v>1121</v>
      </c>
      <c r="K294" s="5" t="s">
        <v>0</v>
      </c>
    </row>
    <row r="295" spans="2:11" ht="15.75" hidden="1" customHeight="1" x14ac:dyDescent="0.2">
      <c r="B295" s="4" t="s">
        <v>2523</v>
      </c>
      <c r="C295" s="4" t="s">
        <v>228</v>
      </c>
      <c r="D295" s="4" t="s">
        <v>36</v>
      </c>
      <c r="E295" s="5" t="s">
        <v>159</v>
      </c>
      <c r="F295" s="4" t="s">
        <v>2891</v>
      </c>
      <c r="G295" s="4" t="s">
        <v>273</v>
      </c>
      <c r="H295" s="6" t="s">
        <v>272</v>
      </c>
      <c r="I295" s="5" t="s">
        <v>2</v>
      </c>
      <c r="J295" s="5" t="s">
        <v>1121</v>
      </c>
      <c r="K295" s="5" t="s">
        <v>0</v>
      </c>
    </row>
    <row r="296" spans="2:11" ht="15.75" hidden="1" customHeight="1" x14ac:dyDescent="0.2">
      <c r="B296" s="4" t="s">
        <v>2523</v>
      </c>
      <c r="C296" s="4" t="s">
        <v>228</v>
      </c>
      <c r="D296" s="4" t="s">
        <v>36</v>
      </c>
      <c r="E296" s="5" t="s">
        <v>5</v>
      </c>
      <c r="F296" s="4" t="s">
        <v>2890</v>
      </c>
      <c r="G296" s="4" t="s">
        <v>273</v>
      </c>
      <c r="H296" s="6" t="s">
        <v>272</v>
      </c>
      <c r="I296" s="5" t="s">
        <v>2</v>
      </c>
      <c r="J296" s="5" t="s">
        <v>1121</v>
      </c>
      <c r="K296" s="5" t="s">
        <v>0</v>
      </c>
    </row>
    <row r="297" spans="2:11" ht="15.75" hidden="1" customHeight="1" x14ac:dyDescent="0.2">
      <c r="B297" s="4" t="s">
        <v>2523</v>
      </c>
      <c r="C297" s="4" t="s">
        <v>228</v>
      </c>
      <c r="D297" s="4" t="s">
        <v>36</v>
      </c>
      <c r="E297" s="5" t="s">
        <v>159</v>
      </c>
      <c r="F297" s="4" t="s">
        <v>2889</v>
      </c>
      <c r="G297" s="4" t="s">
        <v>273</v>
      </c>
      <c r="H297" s="6" t="s">
        <v>272</v>
      </c>
      <c r="I297" s="5" t="s">
        <v>2</v>
      </c>
      <c r="J297" s="5" t="s">
        <v>1121</v>
      </c>
      <c r="K297" s="5" t="s">
        <v>0</v>
      </c>
    </row>
    <row r="298" spans="2:11" ht="15.75" hidden="1" customHeight="1" x14ac:dyDescent="0.2">
      <c r="B298" s="4" t="s">
        <v>2523</v>
      </c>
      <c r="C298" s="4" t="s">
        <v>228</v>
      </c>
      <c r="D298" s="4" t="s">
        <v>36</v>
      </c>
      <c r="E298" s="5" t="s">
        <v>5</v>
      </c>
      <c r="F298" s="4" t="s">
        <v>2888</v>
      </c>
      <c r="G298" s="4" t="s">
        <v>273</v>
      </c>
      <c r="H298" s="6" t="s">
        <v>272</v>
      </c>
      <c r="I298" s="5" t="s">
        <v>2</v>
      </c>
      <c r="J298" s="5" t="s">
        <v>1121</v>
      </c>
      <c r="K298" s="5" t="s">
        <v>0</v>
      </c>
    </row>
    <row r="299" spans="2:11" ht="15.75" hidden="1" customHeight="1" x14ac:dyDescent="0.2">
      <c r="B299" s="4" t="s">
        <v>2523</v>
      </c>
      <c r="C299" s="4" t="s">
        <v>228</v>
      </c>
      <c r="D299" s="4" t="s">
        <v>36</v>
      </c>
      <c r="E299" s="4" t="s">
        <v>159</v>
      </c>
      <c r="F299" s="4" t="s">
        <v>2887</v>
      </c>
      <c r="G299" s="4" t="s">
        <v>289</v>
      </c>
      <c r="H299" s="6" t="s">
        <v>272</v>
      </c>
      <c r="I299" s="5" t="s">
        <v>148</v>
      </c>
      <c r="J299" s="5" t="s">
        <v>50</v>
      </c>
      <c r="K299" s="5" t="s">
        <v>280</v>
      </c>
    </row>
    <row r="300" spans="2:11" ht="15.75" hidden="1" customHeight="1" x14ac:dyDescent="0.2">
      <c r="B300" s="4" t="s">
        <v>2523</v>
      </c>
      <c r="C300" s="4" t="s">
        <v>130</v>
      </c>
      <c r="D300" s="4" t="s">
        <v>77</v>
      </c>
      <c r="E300" s="4" t="s">
        <v>17</v>
      </c>
      <c r="F300" s="4" t="s">
        <v>2886</v>
      </c>
      <c r="G300" s="14" t="s">
        <v>348</v>
      </c>
      <c r="H300" s="6" t="s">
        <v>11</v>
      </c>
      <c r="I300" s="5" t="s">
        <v>2</v>
      </c>
      <c r="J300" s="5" t="s">
        <v>1121</v>
      </c>
      <c r="K300" s="5" t="s">
        <v>0</v>
      </c>
    </row>
    <row r="301" spans="2:11" ht="15.75" hidden="1" customHeight="1" x14ac:dyDescent="0.2">
      <c r="B301" s="4" t="s">
        <v>2523</v>
      </c>
      <c r="C301" s="4" t="s">
        <v>228</v>
      </c>
      <c r="D301" s="4" t="s">
        <v>36</v>
      </c>
      <c r="E301" s="4" t="s">
        <v>159</v>
      </c>
      <c r="F301" s="4" t="s">
        <v>2885</v>
      </c>
      <c r="G301" s="4" t="s">
        <v>273</v>
      </c>
      <c r="H301" s="6" t="s">
        <v>272</v>
      </c>
      <c r="I301" s="5" t="s">
        <v>2</v>
      </c>
      <c r="J301" s="5" t="s">
        <v>2533</v>
      </c>
      <c r="K301" s="5" t="s">
        <v>0</v>
      </c>
    </row>
    <row r="302" spans="2:11" ht="15.75" hidden="1" customHeight="1" x14ac:dyDescent="0.2">
      <c r="B302" s="4" t="s">
        <v>2523</v>
      </c>
      <c r="C302" s="4" t="s">
        <v>228</v>
      </c>
      <c r="D302" s="4" t="s">
        <v>36</v>
      </c>
      <c r="E302" s="4" t="s">
        <v>159</v>
      </c>
      <c r="F302" s="4" t="s">
        <v>2884</v>
      </c>
      <c r="G302" s="4" t="s">
        <v>289</v>
      </c>
      <c r="H302" s="6" t="s">
        <v>272</v>
      </c>
      <c r="I302" s="5" t="s">
        <v>148</v>
      </c>
      <c r="J302" s="5" t="s">
        <v>50</v>
      </c>
      <c r="K302" s="5" t="s">
        <v>538</v>
      </c>
    </row>
    <row r="303" spans="2:11" ht="15.75" hidden="1" customHeight="1" x14ac:dyDescent="0.2">
      <c r="B303" s="4" t="s">
        <v>2523</v>
      </c>
      <c r="C303" s="5" t="s">
        <v>150</v>
      </c>
      <c r="D303" s="5" t="s">
        <v>150</v>
      </c>
      <c r="E303" s="5" t="s">
        <v>5</v>
      </c>
      <c r="F303" s="4" t="s">
        <v>2883</v>
      </c>
      <c r="G303" s="14" t="s">
        <v>11</v>
      </c>
      <c r="H303" s="6" t="s">
        <v>11</v>
      </c>
      <c r="I303" s="5" t="s">
        <v>2</v>
      </c>
      <c r="J303" s="5" t="s">
        <v>1121</v>
      </c>
      <c r="K303" s="5" t="s">
        <v>0</v>
      </c>
    </row>
    <row r="304" spans="2:11" ht="15.75" hidden="1" customHeight="1" x14ac:dyDescent="0.2">
      <c r="B304" s="4" t="s">
        <v>2523</v>
      </c>
      <c r="C304" s="4" t="s">
        <v>228</v>
      </c>
      <c r="D304" s="4" t="s">
        <v>36</v>
      </c>
      <c r="E304" s="5" t="s">
        <v>159</v>
      </c>
      <c r="F304" s="4" t="s">
        <v>2882</v>
      </c>
      <c r="G304" s="4" t="s">
        <v>273</v>
      </c>
      <c r="H304" s="6" t="s">
        <v>272</v>
      </c>
      <c r="I304" s="5" t="s">
        <v>2</v>
      </c>
      <c r="J304" s="5" t="s">
        <v>1121</v>
      </c>
      <c r="K304" s="5" t="s">
        <v>0</v>
      </c>
    </row>
    <row r="305" spans="2:11" ht="15.75" hidden="1" customHeight="1" x14ac:dyDescent="0.2">
      <c r="B305" s="4" t="s">
        <v>2523</v>
      </c>
      <c r="C305" s="4" t="s">
        <v>228</v>
      </c>
      <c r="D305" s="4" t="s">
        <v>36</v>
      </c>
      <c r="E305" s="5" t="s">
        <v>159</v>
      </c>
      <c r="F305" s="4" t="s">
        <v>2881</v>
      </c>
      <c r="G305" s="4" t="s">
        <v>273</v>
      </c>
      <c r="H305" s="6" t="s">
        <v>272</v>
      </c>
      <c r="I305" s="5" t="s">
        <v>2</v>
      </c>
      <c r="J305" s="5" t="s">
        <v>1121</v>
      </c>
      <c r="K305" s="5" t="s">
        <v>0</v>
      </c>
    </row>
    <row r="306" spans="2:11" ht="15.75" hidden="1" customHeight="1" x14ac:dyDescent="0.2">
      <c r="B306" s="4" t="s">
        <v>2523</v>
      </c>
      <c r="C306" s="4" t="s">
        <v>228</v>
      </c>
      <c r="D306" s="4" t="s">
        <v>36</v>
      </c>
      <c r="E306" s="5" t="s">
        <v>159</v>
      </c>
      <c r="F306" s="4" t="s">
        <v>2880</v>
      </c>
      <c r="G306" s="4" t="s">
        <v>273</v>
      </c>
      <c r="H306" s="6" t="s">
        <v>272</v>
      </c>
      <c r="I306" s="5" t="s">
        <v>2</v>
      </c>
      <c r="J306" s="5" t="s">
        <v>1121</v>
      </c>
      <c r="K306" s="5" t="s">
        <v>0</v>
      </c>
    </row>
    <row r="307" spans="2:11" ht="15.75" hidden="1" customHeight="1" x14ac:dyDescent="0.2">
      <c r="B307" s="4" t="s">
        <v>2523</v>
      </c>
      <c r="C307" s="4" t="s">
        <v>139</v>
      </c>
      <c r="D307" s="4" t="s">
        <v>18</v>
      </c>
      <c r="E307" s="4" t="s">
        <v>159</v>
      </c>
      <c r="F307" s="4" t="s">
        <v>2879</v>
      </c>
      <c r="G307" s="20" t="s">
        <v>348</v>
      </c>
      <c r="H307" s="6" t="s">
        <v>11</v>
      </c>
      <c r="I307" s="5" t="s">
        <v>2</v>
      </c>
      <c r="J307" s="5" t="s">
        <v>2533</v>
      </c>
      <c r="K307" s="5" t="s">
        <v>0</v>
      </c>
    </row>
    <row r="308" spans="2:11" ht="15.75" hidden="1" customHeight="1" x14ac:dyDescent="0.2">
      <c r="B308" s="4" t="s">
        <v>2523</v>
      </c>
      <c r="C308" s="4" t="s">
        <v>98</v>
      </c>
      <c r="D308" s="5" t="s">
        <v>97</v>
      </c>
      <c r="E308" s="5" t="s">
        <v>159</v>
      </c>
      <c r="F308" s="4" t="s">
        <v>2878</v>
      </c>
      <c r="G308" s="14" t="s">
        <v>11</v>
      </c>
      <c r="H308" s="6" t="s">
        <v>11</v>
      </c>
      <c r="I308" s="5" t="s">
        <v>2</v>
      </c>
      <c r="J308" s="5" t="s">
        <v>1121</v>
      </c>
      <c r="K308" s="5" t="s">
        <v>0</v>
      </c>
    </row>
    <row r="309" spans="2:11" ht="15.75" hidden="1" customHeight="1" x14ac:dyDescent="0.2">
      <c r="B309" s="4" t="s">
        <v>2523</v>
      </c>
      <c r="C309" s="4" t="s">
        <v>228</v>
      </c>
      <c r="D309" s="4" t="s">
        <v>36</v>
      </c>
      <c r="E309" s="5" t="s">
        <v>159</v>
      </c>
      <c r="F309" s="4" t="s">
        <v>2877</v>
      </c>
      <c r="G309" s="4" t="s">
        <v>273</v>
      </c>
      <c r="H309" s="6" t="s">
        <v>272</v>
      </c>
      <c r="I309" s="5" t="s">
        <v>2</v>
      </c>
      <c r="J309" s="5" t="s">
        <v>1121</v>
      </c>
      <c r="K309" s="5" t="s">
        <v>0</v>
      </c>
    </row>
    <row r="310" spans="2:11" ht="15.75" hidden="1" customHeight="1" x14ac:dyDescent="0.2">
      <c r="B310" s="4" t="s">
        <v>2523</v>
      </c>
      <c r="C310" s="4" t="s">
        <v>228</v>
      </c>
      <c r="D310" s="4" t="s">
        <v>36</v>
      </c>
      <c r="E310" s="5" t="s">
        <v>159</v>
      </c>
      <c r="F310" s="4" t="s">
        <v>2876</v>
      </c>
      <c r="G310" s="4" t="s">
        <v>273</v>
      </c>
      <c r="H310" s="6" t="s">
        <v>272</v>
      </c>
      <c r="I310" s="5" t="s">
        <v>2</v>
      </c>
      <c r="J310" s="5" t="s">
        <v>1121</v>
      </c>
      <c r="K310" s="5" t="s">
        <v>0</v>
      </c>
    </row>
    <row r="311" spans="2:11" ht="15.75" hidden="1" customHeight="1" x14ac:dyDescent="0.2">
      <c r="B311" s="4" t="s">
        <v>2523</v>
      </c>
      <c r="C311" s="4" t="s">
        <v>228</v>
      </c>
      <c r="D311" s="4" t="s">
        <v>36</v>
      </c>
      <c r="E311" s="5" t="s">
        <v>159</v>
      </c>
      <c r="F311" s="4" t="s">
        <v>2875</v>
      </c>
      <c r="G311" s="4" t="s">
        <v>273</v>
      </c>
      <c r="H311" s="6" t="s">
        <v>272</v>
      </c>
      <c r="I311" s="5" t="s">
        <v>2</v>
      </c>
      <c r="J311" s="5" t="s">
        <v>1121</v>
      </c>
      <c r="K311" s="5" t="s">
        <v>0</v>
      </c>
    </row>
    <row r="312" spans="2:11" ht="15.75" hidden="1" customHeight="1" x14ac:dyDescent="0.2">
      <c r="B312" s="4" t="s">
        <v>2523</v>
      </c>
      <c r="C312" s="4" t="s">
        <v>228</v>
      </c>
      <c r="D312" s="4" t="s">
        <v>36</v>
      </c>
      <c r="E312" s="5" t="s">
        <v>159</v>
      </c>
      <c r="F312" s="4" t="s">
        <v>2874</v>
      </c>
      <c r="G312" s="4" t="s">
        <v>273</v>
      </c>
      <c r="H312" s="6" t="s">
        <v>272</v>
      </c>
      <c r="I312" s="5" t="s">
        <v>2</v>
      </c>
      <c r="J312" s="5" t="s">
        <v>1121</v>
      </c>
      <c r="K312" s="5" t="s">
        <v>0</v>
      </c>
    </row>
    <row r="313" spans="2:11" ht="15.75" hidden="1" customHeight="1" x14ac:dyDescent="0.2">
      <c r="B313" s="4" t="s">
        <v>2523</v>
      </c>
      <c r="C313" s="4" t="s">
        <v>228</v>
      </c>
      <c r="D313" s="4" t="s">
        <v>36</v>
      </c>
      <c r="E313" s="4" t="s">
        <v>159</v>
      </c>
      <c r="F313" s="4" t="s">
        <v>2873</v>
      </c>
      <c r="G313" s="4" t="s">
        <v>273</v>
      </c>
      <c r="H313" s="6" t="s">
        <v>272</v>
      </c>
      <c r="I313" s="5" t="s">
        <v>2</v>
      </c>
      <c r="J313" s="5" t="s">
        <v>2533</v>
      </c>
      <c r="K313" s="5" t="s">
        <v>0</v>
      </c>
    </row>
    <row r="314" spans="2:11" ht="15.75" hidden="1" customHeight="1" x14ac:dyDescent="0.2">
      <c r="B314" s="4" t="s">
        <v>2523</v>
      </c>
      <c r="C314" s="4" t="s">
        <v>228</v>
      </c>
      <c r="D314" s="4" t="s">
        <v>36</v>
      </c>
      <c r="E314" s="5" t="s">
        <v>159</v>
      </c>
      <c r="F314" s="4" t="s">
        <v>2872</v>
      </c>
      <c r="G314" s="4" t="s">
        <v>273</v>
      </c>
      <c r="H314" s="6" t="s">
        <v>272</v>
      </c>
      <c r="I314" s="5" t="s">
        <v>2</v>
      </c>
      <c r="J314" s="5" t="s">
        <v>1121</v>
      </c>
      <c r="K314" s="5" t="s">
        <v>0</v>
      </c>
    </row>
    <row r="315" spans="2:11" ht="15.75" hidden="1" customHeight="1" x14ac:dyDescent="0.2">
      <c r="B315" s="4" t="s">
        <v>2523</v>
      </c>
      <c r="C315" s="4" t="s">
        <v>228</v>
      </c>
      <c r="D315" s="4" t="s">
        <v>36</v>
      </c>
      <c r="E315" s="5" t="s">
        <v>159</v>
      </c>
      <c r="F315" s="4" t="s">
        <v>2871</v>
      </c>
      <c r="G315" s="4" t="s">
        <v>273</v>
      </c>
      <c r="H315" s="6" t="s">
        <v>272</v>
      </c>
      <c r="I315" s="5" t="s">
        <v>2</v>
      </c>
      <c r="J315" s="5" t="s">
        <v>1121</v>
      </c>
      <c r="K315" s="5" t="s">
        <v>0</v>
      </c>
    </row>
    <row r="316" spans="2:11" ht="15.75" hidden="1" customHeight="1" x14ac:dyDescent="0.2">
      <c r="B316" s="4" t="s">
        <v>2523</v>
      </c>
      <c r="C316" s="4" t="s">
        <v>271</v>
      </c>
      <c r="D316" s="5" t="s">
        <v>94</v>
      </c>
      <c r="E316" s="5" t="s">
        <v>5</v>
      </c>
      <c r="F316" s="4" t="s">
        <v>2870</v>
      </c>
      <c r="G316" s="14" t="s">
        <v>11</v>
      </c>
      <c r="H316" s="6" t="s">
        <v>11</v>
      </c>
      <c r="I316" s="5" t="s">
        <v>2</v>
      </c>
      <c r="J316" s="5" t="s">
        <v>1121</v>
      </c>
      <c r="K316" s="5" t="s">
        <v>0</v>
      </c>
    </row>
    <row r="317" spans="2:11" ht="15.75" hidden="1" customHeight="1" x14ac:dyDescent="0.2">
      <c r="B317" s="4" t="s">
        <v>2523</v>
      </c>
      <c r="C317" s="4" t="s">
        <v>228</v>
      </c>
      <c r="D317" s="4" t="s">
        <v>36</v>
      </c>
      <c r="E317" s="5" t="s">
        <v>159</v>
      </c>
      <c r="F317" s="4" t="s">
        <v>2869</v>
      </c>
      <c r="G317" s="4" t="s">
        <v>273</v>
      </c>
      <c r="H317" s="6" t="s">
        <v>272</v>
      </c>
      <c r="I317" s="5" t="s">
        <v>2</v>
      </c>
      <c r="J317" s="5" t="s">
        <v>1121</v>
      </c>
      <c r="K317" s="5" t="s">
        <v>0</v>
      </c>
    </row>
    <row r="318" spans="2:11" ht="15.75" hidden="1" customHeight="1" x14ac:dyDescent="0.2">
      <c r="B318" s="4" t="s">
        <v>2523</v>
      </c>
      <c r="C318" s="4" t="s">
        <v>228</v>
      </c>
      <c r="D318" s="4" t="s">
        <v>36</v>
      </c>
      <c r="E318" s="4" t="s">
        <v>159</v>
      </c>
      <c r="F318" s="4" t="s">
        <v>2868</v>
      </c>
      <c r="G318" s="4" t="s">
        <v>273</v>
      </c>
      <c r="H318" s="6" t="s">
        <v>272</v>
      </c>
      <c r="I318" s="5" t="s">
        <v>2</v>
      </c>
      <c r="J318" s="5" t="s">
        <v>2533</v>
      </c>
      <c r="K318" s="5" t="s">
        <v>0</v>
      </c>
    </row>
    <row r="319" spans="2:11" ht="15.75" hidden="1" customHeight="1" x14ac:dyDescent="0.2">
      <c r="B319" s="4" t="s">
        <v>2523</v>
      </c>
      <c r="C319" s="5" t="s">
        <v>299</v>
      </c>
      <c r="D319" s="5" t="s">
        <v>28</v>
      </c>
      <c r="E319" s="5" t="s">
        <v>5</v>
      </c>
      <c r="F319" s="4" t="s">
        <v>2867</v>
      </c>
      <c r="G319" s="14" t="s">
        <v>11</v>
      </c>
      <c r="H319" s="6" t="s">
        <v>11</v>
      </c>
      <c r="I319" s="5" t="s">
        <v>2</v>
      </c>
      <c r="J319" s="5" t="s">
        <v>1121</v>
      </c>
      <c r="K319" s="5" t="s">
        <v>0</v>
      </c>
    </row>
    <row r="320" spans="2:11" ht="15.75" hidden="1" customHeight="1" x14ac:dyDescent="0.2">
      <c r="B320" s="4" t="s">
        <v>2523</v>
      </c>
      <c r="C320" s="5" t="s">
        <v>150</v>
      </c>
      <c r="D320" s="5" t="s">
        <v>150</v>
      </c>
      <c r="E320" s="5" t="s">
        <v>81</v>
      </c>
      <c r="F320" s="4" t="s">
        <v>2866</v>
      </c>
      <c r="G320" s="14" t="s">
        <v>3</v>
      </c>
      <c r="H320" s="6" t="s">
        <v>3</v>
      </c>
      <c r="I320" s="5" t="s">
        <v>109</v>
      </c>
      <c r="J320" s="5" t="s">
        <v>1121</v>
      </c>
      <c r="K320" s="5" t="s">
        <v>1272</v>
      </c>
    </row>
    <row r="321" spans="2:11" ht="15.75" hidden="1" customHeight="1" x14ac:dyDescent="0.2">
      <c r="B321" s="4" t="s">
        <v>2523</v>
      </c>
      <c r="C321" s="4" t="s">
        <v>228</v>
      </c>
      <c r="D321" s="4" t="s">
        <v>36</v>
      </c>
      <c r="E321" s="5" t="s">
        <v>5</v>
      </c>
      <c r="F321" s="4" t="s">
        <v>2865</v>
      </c>
      <c r="G321" s="4" t="s">
        <v>273</v>
      </c>
      <c r="H321" s="6" t="s">
        <v>272</v>
      </c>
      <c r="I321" s="5" t="s">
        <v>2</v>
      </c>
      <c r="J321" s="5" t="s">
        <v>1121</v>
      </c>
      <c r="K321" s="5" t="s">
        <v>0</v>
      </c>
    </row>
    <row r="322" spans="2:11" ht="15.75" hidden="1" customHeight="1" x14ac:dyDescent="0.2">
      <c r="B322" s="4" t="s">
        <v>2523</v>
      </c>
      <c r="C322" s="4" t="s">
        <v>228</v>
      </c>
      <c r="D322" s="4" t="s">
        <v>36</v>
      </c>
      <c r="E322" s="5" t="s">
        <v>5</v>
      </c>
      <c r="F322" s="4" t="s">
        <v>2864</v>
      </c>
      <c r="G322" s="4" t="s">
        <v>273</v>
      </c>
      <c r="H322" s="6" t="s">
        <v>272</v>
      </c>
      <c r="I322" s="5" t="s">
        <v>2</v>
      </c>
      <c r="J322" s="5" t="s">
        <v>1121</v>
      </c>
      <c r="K322" s="5" t="s">
        <v>0</v>
      </c>
    </row>
    <row r="323" spans="2:11" ht="15.75" hidden="1" customHeight="1" x14ac:dyDescent="0.2">
      <c r="B323" s="4" t="s">
        <v>2523</v>
      </c>
      <c r="C323" s="4" t="s">
        <v>228</v>
      </c>
      <c r="D323" s="4" t="s">
        <v>36</v>
      </c>
      <c r="E323" s="5" t="s">
        <v>5</v>
      </c>
      <c r="F323" s="4" t="s">
        <v>2863</v>
      </c>
      <c r="G323" s="4" t="s">
        <v>273</v>
      </c>
      <c r="H323" s="6" t="s">
        <v>272</v>
      </c>
      <c r="I323" s="5" t="s">
        <v>2</v>
      </c>
      <c r="J323" s="5" t="s">
        <v>1121</v>
      </c>
      <c r="K323" s="5" t="s">
        <v>0</v>
      </c>
    </row>
    <row r="324" spans="2:11" ht="15.75" hidden="1" customHeight="1" x14ac:dyDescent="0.2">
      <c r="B324" s="4" t="s">
        <v>2523</v>
      </c>
      <c r="C324" s="4" t="s">
        <v>228</v>
      </c>
      <c r="D324" s="4" t="s">
        <v>36</v>
      </c>
      <c r="E324" s="5" t="s">
        <v>5</v>
      </c>
      <c r="F324" s="4" t="s">
        <v>2862</v>
      </c>
      <c r="G324" s="4" t="s">
        <v>273</v>
      </c>
      <c r="H324" s="6" t="s">
        <v>272</v>
      </c>
      <c r="I324" s="5" t="s">
        <v>2</v>
      </c>
      <c r="J324" s="5" t="s">
        <v>1121</v>
      </c>
      <c r="K324" s="5" t="s">
        <v>0</v>
      </c>
    </row>
    <row r="325" spans="2:11" ht="15.75" hidden="1" customHeight="1" x14ac:dyDescent="0.2">
      <c r="B325" s="4" t="s">
        <v>2523</v>
      </c>
      <c r="C325" s="4" t="s">
        <v>228</v>
      </c>
      <c r="D325" s="4" t="s">
        <v>36</v>
      </c>
      <c r="E325" s="5" t="s">
        <v>5</v>
      </c>
      <c r="F325" s="4" t="s">
        <v>2861</v>
      </c>
      <c r="G325" s="4" t="s">
        <v>273</v>
      </c>
      <c r="H325" s="6" t="s">
        <v>272</v>
      </c>
      <c r="I325" s="5" t="s">
        <v>2</v>
      </c>
      <c r="J325" s="5" t="s">
        <v>1121</v>
      </c>
      <c r="K325" s="5" t="s">
        <v>0</v>
      </c>
    </row>
    <row r="326" spans="2:11" ht="15.75" hidden="1" customHeight="1" x14ac:dyDescent="0.2">
      <c r="B326" s="4" t="s">
        <v>2523</v>
      </c>
      <c r="C326" s="4" t="s">
        <v>228</v>
      </c>
      <c r="D326" s="4" t="s">
        <v>36</v>
      </c>
      <c r="E326" s="4" t="s">
        <v>159</v>
      </c>
      <c r="F326" s="4" t="s">
        <v>2860</v>
      </c>
      <c r="G326" s="4" t="s">
        <v>329</v>
      </c>
      <c r="H326" s="6" t="s">
        <v>272</v>
      </c>
      <c r="I326" s="5" t="s">
        <v>2</v>
      </c>
      <c r="J326" s="5" t="s">
        <v>1121</v>
      </c>
      <c r="K326" s="5" t="s">
        <v>1157</v>
      </c>
    </row>
    <row r="327" spans="2:11" ht="15.75" hidden="1" customHeight="1" x14ac:dyDescent="0.2">
      <c r="B327" s="4" t="s">
        <v>2523</v>
      </c>
      <c r="C327" s="4" t="s">
        <v>228</v>
      </c>
      <c r="D327" s="4" t="s">
        <v>36</v>
      </c>
      <c r="E327" s="4" t="s">
        <v>159</v>
      </c>
      <c r="F327" s="4" t="s">
        <v>2859</v>
      </c>
      <c r="G327" s="4" t="s">
        <v>273</v>
      </c>
      <c r="H327" s="6" t="s">
        <v>272</v>
      </c>
      <c r="I327" s="5" t="s">
        <v>2</v>
      </c>
      <c r="J327" s="5" t="s">
        <v>1121</v>
      </c>
      <c r="K327" s="5" t="s">
        <v>0</v>
      </c>
    </row>
    <row r="328" spans="2:11" ht="15.75" hidden="1" customHeight="1" x14ac:dyDescent="0.2">
      <c r="B328" s="4" t="s">
        <v>2523</v>
      </c>
      <c r="C328" s="4" t="s">
        <v>141</v>
      </c>
      <c r="D328" s="4" t="s">
        <v>71</v>
      </c>
      <c r="E328" s="4" t="s">
        <v>55</v>
      </c>
      <c r="F328" s="4" t="s">
        <v>2858</v>
      </c>
      <c r="G328" s="14" t="s">
        <v>3</v>
      </c>
      <c r="H328" s="6" t="s">
        <v>3</v>
      </c>
      <c r="I328" s="5" t="s">
        <v>2</v>
      </c>
      <c r="J328" s="5" t="s">
        <v>2533</v>
      </c>
      <c r="K328" s="5" t="s">
        <v>0</v>
      </c>
    </row>
    <row r="329" spans="2:11" ht="15.75" hidden="1" customHeight="1" x14ac:dyDescent="0.2">
      <c r="B329" s="4" t="s">
        <v>2523</v>
      </c>
      <c r="C329" s="4" t="s">
        <v>104</v>
      </c>
      <c r="D329" s="4" t="s">
        <v>18</v>
      </c>
      <c r="E329" s="5" t="s">
        <v>23</v>
      </c>
      <c r="F329" s="4" t="s">
        <v>2857</v>
      </c>
      <c r="G329" s="4" t="s">
        <v>177</v>
      </c>
      <c r="H329" s="6" t="s">
        <v>272</v>
      </c>
      <c r="I329" s="5" t="s">
        <v>2</v>
      </c>
      <c r="J329" s="5" t="s">
        <v>1121</v>
      </c>
      <c r="K329" s="5" t="s">
        <v>0</v>
      </c>
    </row>
    <row r="330" spans="2:11" ht="15.75" hidden="1" customHeight="1" x14ac:dyDescent="0.2">
      <c r="B330" s="4" t="s">
        <v>2523</v>
      </c>
      <c r="C330" s="4" t="s">
        <v>228</v>
      </c>
      <c r="D330" s="4" t="s">
        <v>36</v>
      </c>
      <c r="E330" s="5" t="s">
        <v>5</v>
      </c>
      <c r="F330" s="4" t="s">
        <v>2856</v>
      </c>
      <c r="G330" s="4" t="s">
        <v>273</v>
      </c>
      <c r="H330" s="6" t="s">
        <v>272</v>
      </c>
      <c r="I330" s="5" t="s">
        <v>2</v>
      </c>
      <c r="J330" s="5" t="s">
        <v>1121</v>
      </c>
      <c r="K330" s="5" t="s">
        <v>0</v>
      </c>
    </row>
    <row r="331" spans="2:11" ht="15.75" hidden="1" customHeight="1" x14ac:dyDescent="0.2">
      <c r="B331" s="4" t="s">
        <v>2523</v>
      </c>
      <c r="C331" s="4" t="s">
        <v>228</v>
      </c>
      <c r="D331" s="4" t="s">
        <v>36</v>
      </c>
      <c r="E331" s="5" t="s">
        <v>5</v>
      </c>
      <c r="F331" s="4" t="s">
        <v>2855</v>
      </c>
      <c r="G331" s="4" t="s">
        <v>273</v>
      </c>
      <c r="H331" s="6" t="s">
        <v>272</v>
      </c>
      <c r="I331" s="5" t="s">
        <v>2</v>
      </c>
      <c r="J331" s="5" t="s">
        <v>1121</v>
      </c>
      <c r="K331" s="5" t="s">
        <v>0</v>
      </c>
    </row>
    <row r="332" spans="2:11" ht="15.75" hidden="1" customHeight="1" x14ac:dyDescent="0.2">
      <c r="B332" s="4" t="s">
        <v>2523</v>
      </c>
      <c r="C332" s="4" t="s">
        <v>228</v>
      </c>
      <c r="D332" s="4" t="s">
        <v>36</v>
      </c>
      <c r="E332" s="5" t="s">
        <v>5</v>
      </c>
      <c r="F332" s="4" t="s">
        <v>2854</v>
      </c>
      <c r="G332" s="4" t="s">
        <v>273</v>
      </c>
      <c r="H332" s="6" t="s">
        <v>272</v>
      </c>
      <c r="I332" s="5" t="s">
        <v>2</v>
      </c>
      <c r="J332" s="5" t="s">
        <v>1121</v>
      </c>
      <c r="K332" s="5" t="s">
        <v>0</v>
      </c>
    </row>
    <row r="333" spans="2:11" ht="15.75" hidden="1" customHeight="1" x14ac:dyDescent="0.2">
      <c r="B333" s="4" t="s">
        <v>2523</v>
      </c>
      <c r="C333" s="4" t="s">
        <v>228</v>
      </c>
      <c r="D333" s="4" t="s">
        <v>36</v>
      </c>
      <c r="E333" s="4" t="s">
        <v>159</v>
      </c>
      <c r="F333" s="4" t="s">
        <v>2853</v>
      </c>
      <c r="G333" s="4" t="s">
        <v>289</v>
      </c>
      <c r="H333" s="6" t="s">
        <v>272</v>
      </c>
      <c r="I333" s="5" t="s">
        <v>1241</v>
      </c>
      <c r="J333" s="5" t="s">
        <v>50</v>
      </c>
      <c r="K333" s="5" t="s">
        <v>280</v>
      </c>
    </row>
    <row r="334" spans="2:11" ht="15.75" hidden="1" customHeight="1" x14ac:dyDescent="0.2">
      <c r="B334" s="4" t="s">
        <v>2523</v>
      </c>
      <c r="C334" s="4" t="s">
        <v>783</v>
      </c>
      <c r="D334" s="4" t="s">
        <v>66</v>
      </c>
      <c r="E334" s="4" t="s">
        <v>5</v>
      </c>
      <c r="F334" s="4" t="s">
        <v>2852</v>
      </c>
      <c r="G334" s="14" t="s">
        <v>348</v>
      </c>
      <c r="H334" s="6" t="s">
        <v>11</v>
      </c>
      <c r="I334" s="5" t="s">
        <v>2</v>
      </c>
      <c r="J334" s="5" t="s">
        <v>1121</v>
      </c>
      <c r="K334" s="5" t="s">
        <v>0</v>
      </c>
    </row>
    <row r="335" spans="2:11" ht="15.75" hidden="1" customHeight="1" x14ac:dyDescent="0.2">
      <c r="B335" s="4" t="s">
        <v>2523</v>
      </c>
      <c r="C335" s="5" t="s">
        <v>150</v>
      </c>
      <c r="D335" s="5" t="s">
        <v>150</v>
      </c>
      <c r="E335" s="5" t="s">
        <v>5</v>
      </c>
      <c r="F335" s="4" t="s">
        <v>2851</v>
      </c>
      <c r="G335" s="14" t="s">
        <v>11</v>
      </c>
      <c r="H335" s="6" t="s">
        <v>11</v>
      </c>
      <c r="I335" s="5" t="s">
        <v>2</v>
      </c>
      <c r="J335" s="5" t="s">
        <v>1121</v>
      </c>
      <c r="K335" s="5" t="s">
        <v>0</v>
      </c>
    </row>
    <row r="336" spans="2:11" ht="15.75" hidden="1" customHeight="1" x14ac:dyDescent="0.2">
      <c r="B336" s="4" t="s">
        <v>2523</v>
      </c>
      <c r="C336" s="4" t="s">
        <v>228</v>
      </c>
      <c r="D336" s="4" t="s">
        <v>36</v>
      </c>
      <c r="E336" s="4" t="s">
        <v>159</v>
      </c>
      <c r="F336" s="4" t="s">
        <v>2850</v>
      </c>
      <c r="G336" s="4" t="s">
        <v>289</v>
      </c>
      <c r="H336" s="6" t="s">
        <v>272</v>
      </c>
      <c r="I336" s="5" t="s">
        <v>148</v>
      </c>
      <c r="J336" s="5" t="s">
        <v>281</v>
      </c>
      <c r="K336" s="5" t="s">
        <v>538</v>
      </c>
    </row>
    <row r="337" spans="2:11" ht="15.75" hidden="1" customHeight="1" x14ac:dyDescent="0.2">
      <c r="B337" s="4" t="s">
        <v>2523</v>
      </c>
      <c r="C337" s="4" t="s">
        <v>594</v>
      </c>
      <c r="D337" s="4" t="s">
        <v>66</v>
      </c>
      <c r="E337" s="4" t="s">
        <v>5</v>
      </c>
      <c r="F337" s="4" t="s">
        <v>2849</v>
      </c>
      <c r="G337" s="14" t="s">
        <v>348</v>
      </c>
      <c r="H337" s="6" t="s">
        <v>11</v>
      </c>
      <c r="I337" s="5" t="s">
        <v>2</v>
      </c>
      <c r="J337" s="5" t="s">
        <v>1121</v>
      </c>
      <c r="K337" s="5" t="s">
        <v>0</v>
      </c>
    </row>
    <row r="338" spans="2:11" ht="15.75" hidden="1" customHeight="1" x14ac:dyDescent="0.2">
      <c r="B338" s="4" t="s">
        <v>2523</v>
      </c>
      <c r="C338" s="4" t="s">
        <v>228</v>
      </c>
      <c r="D338" s="4" t="s">
        <v>36</v>
      </c>
      <c r="E338" s="4" t="s">
        <v>159</v>
      </c>
      <c r="F338" s="4" t="s">
        <v>2848</v>
      </c>
      <c r="G338" s="4" t="s">
        <v>289</v>
      </c>
      <c r="H338" s="6" t="s">
        <v>272</v>
      </c>
      <c r="I338" s="5" t="s">
        <v>1241</v>
      </c>
      <c r="J338" s="5" t="s">
        <v>50</v>
      </c>
      <c r="K338" s="5" t="s">
        <v>280</v>
      </c>
    </row>
    <row r="339" spans="2:11" ht="15.75" hidden="1" customHeight="1" x14ac:dyDescent="0.2">
      <c r="B339" s="4" t="s">
        <v>2523</v>
      </c>
      <c r="C339" s="4"/>
      <c r="D339" s="4" t="s">
        <v>236</v>
      </c>
      <c r="E339" s="5" t="s">
        <v>5</v>
      </c>
      <c r="F339" s="4" t="s">
        <v>2847</v>
      </c>
      <c r="G339" s="14" t="s">
        <v>348</v>
      </c>
      <c r="H339" s="6" t="s">
        <v>11</v>
      </c>
      <c r="I339" s="5" t="s">
        <v>2</v>
      </c>
      <c r="J339" s="5" t="s">
        <v>1121</v>
      </c>
      <c r="K339" s="5" t="s">
        <v>0</v>
      </c>
    </row>
    <row r="340" spans="2:11" ht="15.75" hidden="1" customHeight="1" x14ac:dyDescent="0.2">
      <c r="B340" s="4" t="s">
        <v>2523</v>
      </c>
      <c r="C340" s="4" t="s">
        <v>228</v>
      </c>
      <c r="D340" s="4" t="s">
        <v>36</v>
      </c>
      <c r="E340" s="5" t="s">
        <v>5</v>
      </c>
      <c r="F340" s="4" t="s">
        <v>2846</v>
      </c>
      <c r="G340" s="4" t="s">
        <v>273</v>
      </c>
      <c r="H340" s="6" t="s">
        <v>272</v>
      </c>
      <c r="I340" s="5" t="s">
        <v>2</v>
      </c>
      <c r="J340" s="5" t="s">
        <v>1121</v>
      </c>
      <c r="K340" s="5" t="s">
        <v>0</v>
      </c>
    </row>
    <row r="341" spans="2:11" ht="15.75" hidden="1" customHeight="1" x14ac:dyDescent="0.2">
      <c r="B341" s="4" t="s">
        <v>2523</v>
      </c>
      <c r="C341" s="4" t="s">
        <v>228</v>
      </c>
      <c r="D341" s="4" t="s">
        <v>36</v>
      </c>
      <c r="E341" s="5" t="s">
        <v>5</v>
      </c>
      <c r="F341" s="4" t="s">
        <v>2845</v>
      </c>
      <c r="G341" s="4" t="s">
        <v>273</v>
      </c>
      <c r="H341" s="6" t="s">
        <v>272</v>
      </c>
      <c r="I341" s="5" t="s">
        <v>2</v>
      </c>
      <c r="J341" s="5" t="s">
        <v>1121</v>
      </c>
      <c r="K341" s="5" t="s">
        <v>0</v>
      </c>
    </row>
    <row r="342" spans="2:11" ht="15.75" hidden="1" customHeight="1" x14ac:dyDescent="0.2">
      <c r="B342" s="4" t="s">
        <v>2523</v>
      </c>
      <c r="C342" s="4" t="s">
        <v>228</v>
      </c>
      <c r="D342" s="4" t="s">
        <v>36</v>
      </c>
      <c r="E342" s="4" t="s">
        <v>5</v>
      </c>
      <c r="F342" s="4" t="s">
        <v>2844</v>
      </c>
      <c r="G342" s="4" t="s">
        <v>329</v>
      </c>
      <c r="H342" s="6" t="s">
        <v>272</v>
      </c>
      <c r="I342" s="5" t="s">
        <v>2</v>
      </c>
      <c r="J342" s="5" t="s">
        <v>2533</v>
      </c>
      <c r="K342" s="5"/>
    </row>
    <row r="343" spans="2:11" ht="15.75" hidden="1" customHeight="1" x14ac:dyDescent="0.2">
      <c r="B343" s="4" t="s">
        <v>2523</v>
      </c>
      <c r="C343" s="4" t="s">
        <v>89</v>
      </c>
      <c r="D343" s="4" t="s">
        <v>88</v>
      </c>
      <c r="E343" s="4" t="s">
        <v>159</v>
      </c>
      <c r="F343" s="4" t="s">
        <v>2843</v>
      </c>
      <c r="G343" s="14" t="s">
        <v>11</v>
      </c>
      <c r="H343" s="6" t="s">
        <v>11</v>
      </c>
      <c r="I343" s="4" t="s">
        <v>2</v>
      </c>
      <c r="J343" s="4" t="s">
        <v>2525</v>
      </c>
      <c r="K343" s="4" t="s">
        <v>0</v>
      </c>
    </row>
    <row r="344" spans="2:11" ht="15.75" hidden="1" customHeight="1" x14ac:dyDescent="0.2">
      <c r="B344" s="4" t="s">
        <v>2523</v>
      </c>
      <c r="C344" s="4" t="s">
        <v>228</v>
      </c>
      <c r="D344" s="4" t="s">
        <v>36</v>
      </c>
      <c r="E344" s="5" t="s">
        <v>159</v>
      </c>
      <c r="F344" s="4" t="s">
        <v>2842</v>
      </c>
      <c r="G344" s="4" t="s">
        <v>273</v>
      </c>
      <c r="H344" s="6" t="s">
        <v>272</v>
      </c>
      <c r="I344" s="5" t="s">
        <v>2</v>
      </c>
      <c r="J344" s="5" t="s">
        <v>1121</v>
      </c>
      <c r="K344" s="5" t="s">
        <v>0</v>
      </c>
    </row>
    <row r="345" spans="2:11" ht="15.75" hidden="1" customHeight="1" x14ac:dyDescent="0.2">
      <c r="B345" s="4" t="s">
        <v>2523</v>
      </c>
      <c r="C345" s="4" t="s">
        <v>228</v>
      </c>
      <c r="D345" s="4" t="s">
        <v>36</v>
      </c>
      <c r="E345" s="5" t="s">
        <v>159</v>
      </c>
      <c r="F345" s="4" t="s">
        <v>2841</v>
      </c>
      <c r="G345" s="4" t="s">
        <v>273</v>
      </c>
      <c r="H345" s="6" t="s">
        <v>272</v>
      </c>
      <c r="I345" s="5" t="s">
        <v>2</v>
      </c>
      <c r="J345" s="5" t="s">
        <v>1121</v>
      </c>
      <c r="K345" s="5" t="s">
        <v>0</v>
      </c>
    </row>
    <row r="346" spans="2:11" ht="15.75" hidden="1" customHeight="1" x14ac:dyDescent="0.2">
      <c r="B346" s="4" t="s">
        <v>2523</v>
      </c>
      <c r="C346" s="4" t="s">
        <v>228</v>
      </c>
      <c r="D346" s="4" t="s">
        <v>36</v>
      </c>
      <c r="E346" s="4" t="s">
        <v>159</v>
      </c>
      <c r="F346" s="4" t="s">
        <v>2840</v>
      </c>
      <c r="G346" s="4" t="s">
        <v>273</v>
      </c>
      <c r="H346" s="6" t="s">
        <v>272</v>
      </c>
      <c r="I346" s="5" t="s">
        <v>2</v>
      </c>
      <c r="J346" s="5" t="s">
        <v>1121</v>
      </c>
      <c r="K346" s="5" t="s">
        <v>0</v>
      </c>
    </row>
    <row r="347" spans="2:11" ht="15.75" hidden="1" customHeight="1" x14ac:dyDescent="0.2">
      <c r="B347" s="4" t="s">
        <v>2523</v>
      </c>
      <c r="C347" s="4" t="s">
        <v>228</v>
      </c>
      <c r="D347" s="4" t="s">
        <v>36</v>
      </c>
      <c r="E347" s="4" t="s">
        <v>159</v>
      </c>
      <c r="F347" s="4" t="s">
        <v>2839</v>
      </c>
      <c r="G347" s="4" t="s">
        <v>273</v>
      </c>
      <c r="H347" s="6" t="s">
        <v>272</v>
      </c>
      <c r="I347" s="5" t="s">
        <v>2</v>
      </c>
      <c r="J347" s="5" t="s">
        <v>2533</v>
      </c>
      <c r="K347" s="5" t="s">
        <v>0</v>
      </c>
    </row>
    <row r="348" spans="2:11" ht="15.75" hidden="1" customHeight="1" x14ac:dyDescent="0.2">
      <c r="B348" s="4" t="s">
        <v>2523</v>
      </c>
      <c r="C348" s="4" t="s">
        <v>878</v>
      </c>
      <c r="D348" s="4" t="s">
        <v>877</v>
      </c>
      <c r="E348" s="4" t="s">
        <v>5</v>
      </c>
      <c r="F348" s="4" t="s">
        <v>2838</v>
      </c>
      <c r="G348" s="14" t="s">
        <v>11</v>
      </c>
      <c r="H348" s="6" t="s">
        <v>11</v>
      </c>
      <c r="I348" s="5" t="s">
        <v>2</v>
      </c>
      <c r="J348" s="5" t="s">
        <v>1121</v>
      </c>
      <c r="K348" s="5" t="s">
        <v>0</v>
      </c>
    </row>
    <row r="349" spans="2:11" ht="15.75" hidden="1" customHeight="1" x14ac:dyDescent="0.2">
      <c r="B349" s="4" t="s">
        <v>2523</v>
      </c>
      <c r="C349" s="4" t="s">
        <v>228</v>
      </c>
      <c r="D349" s="4" t="s">
        <v>36</v>
      </c>
      <c r="E349" s="5" t="s">
        <v>5</v>
      </c>
      <c r="F349" s="4" t="s">
        <v>2837</v>
      </c>
      <c r="G349" s="4" t="s">
        <v>273</v>
      </c>
      <c r="H349" s="6" t="s">
        <v>272</v>
      </c>
      <c r="I349" s="5" t="s">
        <v>2</v>
      </c>
      <c r="J349" s="5" t="s">
        <v>1121</v>
      </c>
      <c r="K349" s="5" t="s">
        <v>0</v>
      </c>
    </row>
    <row r="350" spans="2:11" ht="15.75" hidden="1" customHeight="1" x14ac:dyDescent="0.2">
      <c r="B350" s="4" t="s">
        <v>2523</v>
      </c>
      <c r="C350" s="4" t="s">
        <v>228</v>
      </c>
      <c r="D350" s="4" t="s">
        <v>36</v>
      </c>
      <c r="E350" s="5" t="s">
        <v>5</v>
      </c>
      <c r="F350" s="4" t="s">
        <v>2836</v>
      </c>
      <c r="G350" s="4" t="s">
        <v>273</v>
      </c>
      <c r="H350" s="6" t="s">
        <v>272</v>
      </c>
      <c r="I350" s="5" t="s">
        <v>2</v>
      </c>
      <c r="J350" s="5" t="s">
        <v>1121</v>
      </c>
      <c r="K350" s="5" t="s">
        <v>0</v>
      </c>
    </row>
    <row r="351" spans="2:11" ht="15.75" hidden="1" customHeight="1" x14ac:dyDescent="0.2">
      <c r="B351" s="4" t="s">
        <v>2523</v>
      </c>
      <c r="C351" s="4" t="s">
        <v>228</v>
      </c>
      <c r="D351" s="4" t="s">
        <v>36</v>
      </c>
      <c r="E351" s="5" t="s">
        <v>5</v>
      </c>
      <c r="F351" s="4" t="s">
        <v>2835</v>
      </c>
      <c r="G351" s="4" t="s">
        <v>273</v>
      </c>
      <c r="H351" s="6" t="s">
        <v>272</v>
      </c>
      <c r="I351" s="5" t="s">
        <v>2</v>
      </c>
      <c r="J351" s="5" t="s">
        <v>1121</v>
      </c>
      <c r="K351" s="5" t="s">
        <v>0</v>
      </c>
    </row>
    <row r="352" spans="2:11" ht="15.75" hidden="1" customHeight="1" x14ac:dyDescent="0.2">
      <c r="B352" s="4" t="s">
        <v>2523</v>
      </c>
      <c r="C352" s="4" t="s">
        <v>228</v>
      </c>
      <c r="D352" s="4" t="s">
        <v>36</v>
      </c>
      <c r="E352" s="4" t="s">
        <v>159</v>
      </c>
      <c r="F352" s="4" t="s">
        <v>2834</v>
      </c>
      <c r="G352" s="4" t="s">
        <v>289</v>
      </c>
      <c r="H352" s="6" t="s">
        <v>272</v>
      </c>
      <c r="I352" s="5" t="s">
        <v>1241</v>
      </c>
      <c r="J352" s="5" t="s">
        <v>50</v>
      </c>
      <c r="K352" s="5" t="s">
        <v>280</v>
      </c>
    </row>
    <row r="353" spans="2:11" ht="15.75" hidden="1" customHeight="1" x14ac:dyDescent="0.2">
      <c r="B353" s="4" t="s">
        <v>2523</v>
      </c>
      <c r="C353" s="4" t="s">
        <v>228</v>
      </c>
      <c r="D353" s="4" t="s">
        <v>36</v>
      </c>
      <c r="E353" s="5" t="s">
        <v>5</v>
      </c>
      <c r="F353" s="4" t="s">
        <v>2833</v>
      </c>
      <c r="G353" s="4" t="s">
        <v>273</v>
      </c>
      <c r="H353" s="6" t="s">
        <v>272</v>
      </c>
      <c r="I353" s="5" t="s">
        <v>2</v>
      </c>
      <c r="J353" s="5" t="s">
        <v>1121</v>
      </c>
      <c r="K353" s="5" t="s">
        <v>0</v>
      </c>
    </row>
    <row r="354" spans="2:11" ht="15.75" hidden="1" customHeight="1" x14ac:dyDescent="0.2">
      <c r="B354" s="4" t="s">
        <v>2523</v>
      </c>
      <c r="C354" s="4" t="s">
        <v>271</v>
      </c>
      <c r="D354" s="5" t="s">
        <v>94</v>
      </c>
      <c r="E354" s="5" t="s">
        <v>5</v>
      </c>
      <c r="F354" s="4" t="s">
        <v>2832</v>
      </c>
      <c r="G354" s="14" t="s">
        <v>11</v>
      </c>
      <c r="H354" s="6" t="s">
        <v>11</v>
      </c>
      <c r="I354" s="5" t="s">
        <v>2</v>
      </c>
      <c r="J354" s="5" t="s">
        <v>1121</v>
      </c>
      <c r="K354" s="5" t="s">
        <v>0</v>
      </c>
    </row>
    <row r="355" spans="2:11" ht="15.75" hidden="1" customHeight="1" x14ac:dyDescent="0.2">
      <c r="B355" s="4" t="s">
        <v>2523</v>
      </c>
      <c r="C355" s="4" t="s">
        <v>271</v>
      </c>
      <c r="D355" s="5" t="s">
        <v>94</v>
      </c>
      <c r="E355" s="5" t="s">
        <v>5</v>
      </c>
      <c r="F355" s="4" t="s">
        <v>2831</v>
      </c>
      <c r="G355" s="14" t="s">
        <v>11</v>
      </c>
      <c r="H355" s="6" t="s">
        <v>11</v>
      </c>
      <c r="I355" s="5" t="s">
        <v>2</v>
      </c>
      <c r="J355" s="5" t="s">
        <v>1121</v>
      </c>
      <c r="K355" s="5" t="s">
        <v>108</v>
      </c>
    </row>
    <row r="356" spans="2:11" ht="15.75" hidden="1" customHeight="1" x14ac:dyDescent="0.2">
      <c r="B356" s="4" t="s">
        <v>2523</v>
      </c>
      <c r="C356" s="4" t="s">
        <v>271</v>
      </c>
      <c r="D356" s="5" t="s">
        <v>94</v>
      </c>
      <c r="E356" s="5" t="s">
        <v>5</v>
      </c>
      <c r="F356" s="4" t="s">
        <v>2830</v>
      </c>
      <c r="G356" s="14" t="s">
        <v>11</v>
      </c>
      <c r="H356" s="6" t="s">
        <v>11</v>
      </c>
      <c r="I356" s="5" t="s">
        <v>2</v>
      </c>
      <c r="J356" s="5" t="s">
        <v>1121</v>
      </c>
      <c r="K356" s="5" t="s">
        <v>0</v>
      </c>
    </row>
    <row r="357" spans="2:11" ht="15.75" hidden="1" customHeight="1" x14ac:dyDescent="0.2">
      <c r="B357" s="4" t="s">
        <v>2523</v>
      </c>
      <c r="C357" s="4" t="s">
        <v>228</v>
      </c>
      <c r="D357" s="4" t="s">
        <v>36</v>
      </c>
      <c r="E357" s="5" t="s">
        <v>5</v>
      </c>
      <c r="F357" s="4" t="s">
        <v>2829</v>
      </c>
      <c r="G357" s="4" t="s">
        <v>273</v>
      </c>
      <c r="H357" s="6" t="s">
        <v>272</v>
      </c>
      <c r="I357" s="5" t="s">
        <v>2</v>
      </c>
      <c r="J357" s="5" t="s">
        <v>1121</v>
      </c>
      <c r="K357" s="5" t="s">
        <v>0</v>
      </c>
    </row>
    <row r="358" spans="2:11" ht="15.75" hidden="1" customHeight="1" x14ac:dyDescent="0.2">
      <c r="B358" s="4" t="s">
        <v>2523</v>
      </c>
      <c r="C358" s="4" t="s">
        <v>228</v>
      </c>
      <c r="D358" s="4" t="s">
        <v>36</v>
      </c>
      <c r="E358" s="4" t="s">
        <v>5</v>
      </c>
      <c r="F358" s="4" t="s">
        <v>2828</v>
      </c>
      <c r="G358" s="4" t="s">
        <v>273</v>
      </c>
      <c r="H358" s="6" t="s">
        <v>272</v>
      </c>
      <c r="I358" s="5" t="s">
        <v>2</v>
      </c>
      <c r="J358" s="5" t="s">
        <v>1121</v>
      </c>
      <c r="K358" s="5" t="s">
        <v>0</v>
      </c>
    </row>
    <row r="359" spans="2:11" ht="15.75" hidden="1" customHeight="1" x14ac:dyDescent="0.2">
      <c r="B359" s="4" t="s">
        <v>2523</v>
      </c>
      <c r="C359" s="4" t="s">
        <v>228</v>
      </c>
      <c r="D359" s="4" t="s">
        <v>36</v>
      </c>
      <c r="E359" s="5" t="s">
        <v>5</v>
      </c>
      <c r="F359" s="4" t="s">
        <v>2827</v>
      </c>
      <c r="G359" s="4" t="s">
        <v>273</v>
      </c>
      <c r="H359" s="6" t="s">
        <v>272</v>
      </c>
      <c r="I359" s="5" t="s">
        <v>2</v>
      </c>
      <c r="J359" s="5" t="s">
        <v>1121</v>
      </c>
      <c r="K359" s="5" t="s">
        <v>0</v>
      </c>
    </row>
    <row r="360" spans="2:11" ht="15.75" hidden="1" customHeight="1" x14ac:dyDescent="0.2">
      <c r="B360" s="4" t="s">
        <v>2523</v>
      </c>
      <c r="C360" s="4" t="s">
        <v>228</v>
      </c>
      <c r="D360" s="4" t="s">
        <v>36</v>
      </c>
      <c r="E360" s="5" t="s">
        <v>5</v>
      </c>
      <c r="F360" s="4" t="s">
        <v>2826</v>
      </c>
      <c r="G360" s="4" t="s">
        <v>273</v>
      </c>
      <c r="H360" s="6" t="s">
        <v>272</v>
      </c>
      <c r="I360" s="5" t="s">
        <v>2</v>
      </c>
      <c r="J360" s="5" t="s">
        <v>1121</v>
      </c>
      <c r="K360" s="5" t="s">
        <v>0</v>
      </c>
    </row>
    <row r="361" spans="2:11" ht="15.75" hidden="1" customHeight="1" x14ac:dyDescent="0.2">
      <c r="B361" s="4" t="s">
        <v>2523</v>
      </c>
      <c r="C361" s="4" t="s">
        <v>228</v>
      </c>
      <c r="D361" s="4" t="s">
        <v>36</v>
      </c>
      <c r="E361" s="5" t="s">
        <v>5</v>
      </c>
      <c r="F361" s="4" t="s">
        <v>2825</v>
      </c>
      <c r="G361" s="4" t="s">
        <v>273</v>
      </c>
      <c r="H361" s="6" t="s">
        <v>272</v>
      </c>
      <c r="I361" s="5" t="s">
        <v>2</v>
      </c>
      <c r="J361" s="5" t="s">
        <v>1121</v>
      </c>
      <c r="K361" s="5" t="s">
        <v>0</v>
      </c>
    </row>
    <row r="362" spans="2:11" ht="15.75" hidden="1" customHeight="1" x14ac:dyDescent="0.2">
      <c r="B362" s="4" t="s">
        <v>2523</v>
      </c>
      <c r="C362" s="4" t="s">
        <v>228</v>
      </c>
      <c r="D362" s="4" t="s">
        <v>36</v>
      </c>
      <c r="E362" s="5" t="s">
        <v>5</v>
      </c>
      <c r="F362" s="4" t="s">
        <v>2824</v>
      </c>
      <c r="G362" s="4" t="s">
        <v>273</v>
      </c>
      <c r="H362" s="6" t="s">
        <v>272</v>
      </c>
      <c r="I362" s="5" t="s">
        <v>2</v>
      </c>
      <c r="J362" s="5" t="s">
        <v>1121</v>
      </c>
      <c r="K362" s="5" t="s">
        <v>0</v>
      </c>
    </row>
    <row r="363" spans="2:11" ht="15.75" hidden="1" customHeight="1" x14ac:dyDescent="0.2">
      <c r="B363" s="4" t="s">
        <v>2523</v>
      </c>
      <c r="C363" s="4" t="s">
        <v>228</v>
      </c>
      <c r="D363" s="4" t="s">
        <v>36</v>
      </c>
      <c r="E363" s="5" t="s">
        <v>5</v>
      </c>
      <c r="F363" s="4" t="s">
        <v>2823</v>
      </c>
      <c r="G363" s="4" t="s">
        <v>273</v>
      </c>
      <c r="H363" s="6" t="s">
        <v>272</v>
      </c>
      <c r="I363" s="5" t="s">
        <v>2</v>
      </c>
      <c r="J363" s="5" t="s">
        <v>1121</v>
      </c>
      <c r="K363" s="5" t="s">
        <v>0</v>
      </c>
    </row>
    <row r="364" spans="2:11" ht="15.75" hidden="1" customHeight="1" x14ac:dyDescent="0.2">
      <c r="B364" s="4" t="s">
        <v>2523</v>
      </c>
      <c r="C364" s="4" t="s">
        <v>594</v>
      </c>
      <c r="D364" s="4" t="s">
        <v>66</v>
      </c>
      <c r="E364" s="4" t="s">
        <v>5</v>
      </c>
      <c r="F364" s="4" t="s">
        <v>2822</v>
      </c>
      <c r="G364" s="14" t="s">
        <v>348</v>
      </c>
      <c r="H364" s="6" t="s">
        <v>11</v>
      </c>
      <c r="I364" s="5" t="s">
        <v>2</v>
      </c>
      <c r="J364" s="5" t="s">
        <v>1121</v>
      </c>
      <c r="K364" s="5" t="s">
        <v>0</v>
      </c>
    </row>
    <row r="365" spans="2:11" ht="15.75" hidden="1" customHeight="1" x14ac:dyDescent="0.2">
      <c r="B365" s="4" t="s">
        <v>2523</v>
      </c>
      <c r="C365" s="4" t="s">
        <v>228</v>
      </c>
      <c r="D365" s="4" t="s">
        <v>36</v>
      </c>
      <c r="E365" s="5" t="s">
        <v>5</v>
      </c>
      <c r="F365" s="4" t="s">
        <v>2821</v>
      </c>
      <c r="G365" s="4" t="s">
        <v>273</v>
      </c>
      <c r="H365" s="6" t="s">
        <v>272</v>
      </c>
      <c r="I365" s="5" t="s">
        <v>2</v>
      </c>
      <c r="J365" s="5" t="s">
        <v>1121</v>
      </c>
      <c r="K365" s="5" t="s">
        <v>0</v>
      </c>
    </row>
    <row r="366" spans="2:11" ht="15.75" hidden="1" customHeight="1" x14ac:dyDescent="0.2">
      <c r="B366" s="4" t="s">
        <v>2523</v>
      </c>
      <c r="C366" s="4" t="s">
        <v>358</v>
      </c>
      <c r="D366" s="5" t="s">
        <v>42</v>
      </c>
      <c r="E366" s="5" t="s">
        <v>5</v>
      </c>
      <c r="F366" s="4" t="s">
        <v>2820</v>
      </c>
      <c r="G366" s="14" t="s">
        <v>11</v>
      </c>
      <c r="H366" s="6" t="s">
        <v>11</v>
      </c>
      <c r="I366" s="5" t="s">
        <v>2</v>
      </c>
      <c r="J366" s="5" t="s">
        <v>1121</v>
      </c>
      <c r="K366" s="5" t="s">
        <v>0</v>
      </c>
    </row>
    <row r="367" spans="2:11" ht="15.75" hidden="1" customHeight="1" x14ac:dyDescent="0.2">
      <c r="B367" s="4" t="s">
        <v>2523</v>
      </c>
      <c r="C367" s="4" t="s">
        <v>594</v>
      </c>
      <c r="D367" s="4" t="s">
        <v>66</v>
      </c>
      <c r="E367" s="4" t="s">
        <v>5</v>
      </c>
      <c r="F367" s="4" t="s">
        <v>2819</v>
      </c>
      <c r="G367" s="14" t="s">
        <v>348</v>
      </c>
      <c r="H367" s="6" t="s">
        <v>11</v>
      </c>
      <c r="I367" s="5" t="s">
        <v>2</v>
      </c>
      <c r="J367" s="5" t="s">
        <v>1121</v>
      </c>
      <c r="K367" s="5" t="s">
        <v>0</v>
      </c>
    </row>
    <row r="368" spans="2:11" ht="15.75" hidden="1" customHeight="1" x14ac:dyDescent="0.2">
      <c r="B368" s="4" t="s">
        <v>2523</v>
      </c>
      <c r="C368" s="4" t="s">
        <v>271</v>
      </c>
      <c r="D368" s="4" t="s">
        <v>94</v>
      </c>
      <c r="E368" s="4" t="s">
        <v>23</v>
      </c>
      <c r="F368" s="4" t="s">
        <v>2818</v>
      </c>
      <c r="G368" s="4" t="s">
        <v>272</v>
      </c>
      <c r="H368" s="6">
        <v>19</v>
      </c>
      <c r="I368" s="5" t="s">
        <v>2</v>
      </c>
      <c r="J368" s="5" t="s">
        <v>2533</v>
      </c>
      <c r="K368" s="5" t="s">
        <v>0</v>
      </c>
    </row>
    <row r="369" spans="2:11" ht="15.75" hidden="1" customHeight="1" x14ac:dyDescent="0.2">
      <c r="B369" s="4" t="s">
        <v>2523</v>
      </c>
      <c r="C369" s="4" t="s">
        <v>271</v>
      </c>
      <c r="D369" s="5" t="s">
        <v>94</v>
      </c>
      <c r="E369" s="5" t="s">
        <v>5</v>
      </c>
      <c r="F369" s="4" t="s">
        <v>2817</v>
      </c>
      <c r="G369" s="14" t="s">
        <v>11</v>
      </c>
      <c r="H369" s="6" t="s">
        <v>11</v>
      </c>
      <c r="I369" s="5" t="s">
        <v>2</v>
      </c>
      <c r="J369" s="5" t="s">
        <v>1121</v>
      </c>
      <c r="K369" s="5" t="s">
        <v>0</v>
      </c>
    </row>
    <row r="370" spans="2:11" ht="15.75" hidden="1" customHeight="1" x14ac:dyDescent="0.2">
      <c r="B370" s="4" t="s">
        <v>2523</v>
      </c>
      <c r="C370" s="4" t="s">
        <v>228</v>
      </c>
      <c r="D370" s="4" t="s">
        <v>36</v>
      </c>
      <c r="E370" s="4" t="s">
        <v>5</v>
      </c>
      <c r="F370" s="4" t="s">
        <v>2816</v>
      </c>
      <c r="G370" s="4" t="s">
        <v>273</v>
      </c>
      <c r="H370" s="6" t="s">
        <v>272</v>
      </c>
      <c r="I370" s="5" t="s">
        <v>2</v>
      </c>
      <c r="J370" s="5" t="s">
        <v>1121</v>
      </c>
      <c r="K370" s="5" t="s">
        <v>75</v>
      </c>
    </row>
    <row r="371" spans="2:11" ht="15.75" hidden="1" customHeight="1" x14ac:dyDescent="0.2">
      <c r="B371" s="4" t="s">
        <v>2523</v>
      </c>
      <c r="C371" s="4" t="s">
        <v>228</v>
      </c>
      <c r="D371" s="4" t="s">
        <v>36</v>
      </c>
      <c r="E371" s="4" t="s">
        <v>159</v>
      </c>
      <c r="F371" s="4" t="s">
        <v>2815</v>
      </c>
      <c r="G371" s="4" t="s">
        <v>273</v>
      </c>
      <c r="H371" s="6" t="s">
        <v>272</v>
      </c>
      <c r="I371" s="5" t="s">
        <v>2</v>
      </c>
      <c r="J371" s="5" t="s">
        <v>1121</v>
      </c>
      <c r="K371" s="5" t="s">
        <v>0</v>
      </c>
    </row>
    <row r="372" spans="2:11" ht="15.75" hidden="1" customHeight="1" x14ac:dyDescent="0.2">
      <c r="B372" s="4" t="s">
        <v>2523</v>
      </c>
      <c r="C372" s="4" t="s">
        <v>228</v>
      </c>
      <c r="D372" s="4" t="s">
        <v>36</v>
      </c>
      <c r="E372" s="5" t="s">
        <v>5</v>
      </c>
      <c r="F372" s="4" t="s">
        <v>2814</v>
      </c>
      <c r="G372" s="4" t="s">
        <v>273</v>
      </c>
      <c r="H372" s="6" t="s">
        <v>272</v>
      </c>
      <c r="I372" s="5" t="s">
        <v>2</v>
      </c>
      <c r="J372" s="5" t="s">
        <v>1121</v>
      </c>
      <c r="K372" s="5" t="s">
        <v>0</v>
      </c>
    </row>
    <row r="373" spans="2:11" ht="15.75" hidden="1" customHeight="1" x14ac:dyDescent="0.2">
      <c r="B373" s="4" t="s">
        <v>2523</v>
      </c>
      <c r="C373" s="4" t="s">
        <v>228</v>
      </c>
      <c r="D373" s="4" t="s">
        <v>36</v>
      </c>
      <c r="E373" s="4" t="s">
        <v>5</v>
      </c>
      <c r="F373" s="4" t="s">
        <v>2813</v>
      </c>
      <c r="G373" s="4" t="s">
        <v>329</v>
      </c>
      <c r="H373" s="6" t="s">
        <v>272</v>
      </c>
      <c r="I373" s="5" t="s">
        <v>2</v>
      </c>
      <c r="J373" s="5" t="s">
        <v>2533</v>
      </c>
      <c r="K373" s="5" t="s">
        <v>204</v>
      </c>
    </row>
    <row r="374" spans="2:11" ht="15.75" hidden="1" customHeight="1" x14ac:dyDescent="0.2">
      <c r="B374" s="4" t="s">
        <v>2523</v>
      </c>
      <c r="C374" s="4" t="s">
        <v>2812</v>
      </c>
      <c r="D374" s="4" t="s">
        <v>236</v>
      </c>
      <c r="E374" s="4" t="s">
        <v>5</v>
      </c>
      <c r="F374" s="4" t="s">
        <v>2811</v>
      </c>
      <c r="G374" s="14" t="s">
        <v>348</v>
      </c>
      <c r="H374" s="6" t="s">
        <v>11</v>
      </c>
      <c r="I374" s="5" t="s">
        <v>2</v>
      </c>
      <c r="J374" s="5" t="s">
        <v>1121</v>
      </c>
      <c r="K374" s="5" t="s">
        <v>0</v>
      </c>
    </row>
    <row r="375" spans="2:11" ht="15.75" hidden="1" customHeight="1" x14ac:dyDescent="0.2">
      <c r="B375" s="4" t="s">
        <v>2523</v>
      </c>
      <c r="C375" s="4" t="s">
        <v>228</v>
      </c>
      <c r="D375" s="4" t="s">
        <v>36</v>
      </c>
      <c r="E375" s="5" t="s">
        <v>5</v>
      </c>
      <c r="F375" s="4" t="s">
        <v>2810</v>
      </c>
      <c r="G375" s="4" t="s">
        <v>273</v>
      </c>
      <c r="H375" s="6" t="s">
        <v>272</v>
      </c>
      <c r="I375" s="5" t="s">
        <v>2</v>
      </c>
      <c r="J375" s="5" t="s">
        <v>1121</v>
      </c>
      <c r="K375" s="5" t="s">
        <v>0</v>
      </c>
    </row>
    <row r="376" spans="2:11" ht="15.75" hidden="1" customHeight="1" x14ac:dyDescent="0.2">
      <c r="B376" s="4" t="s">
        <v>2523</v>
      </c>
      <c r="C376" s="4" t="s">
        <v>228</v>
      </c>
      <c r="D376" s="4" t="s">
        <v>36</v>
      </c>
      <c r="E376" s="5" t="s">
        <v>5</v>
      </c>
      <c r="F376" s="4" t="s">
        <v>2809</v>
      </c>
      <c r="G376" s="4" t="s">
        <v>273</v>
      </c>
      <c r="H376" s="6" t="s">
        <v>272</v>
      </c>
      <c r="I376" s="5" t="s">
        <v>2</v>
      </c>
      <c r="J376" s="5" t="s">
        <v>1121</v>
      </c>
      <c r="K376" s="5" t="s">
        <v>0</v>
      </c>
    </row>
    <row r="377" spans="2:11" ht="15.75" hidden="1" customHeight="1" x14ac:dyDescent="0.2">
      <c r="B377" s="4" t="s">
        <v>2523</v>
      </c>
      <c r="C377" s="5" t="s">
        <v>95</v>
      </c>
      <c r="D377" s="5" t="s">
        <v>94</v>
      </c>
      <c r="E377" s="5" t="s">
        <v>5</v>
      </c>
      <c r="F377" s="4" t="s">
        <v>2808</v>
      </c>
      <c r="G377" s="14" t="s">
        <v>11</v>
      </c>
      <c r="H377" s="6" t="s">
        <v>11</v>
      </c>
      <c r="I377" s="5" t="s">
        <v>2</v>
      </c>
      <c r="J377" s="5" t="s">
        <v>1121</v>
      </c>
      <c r="K377" s="5" t="s">
        <v>0</v>
      </c>
    </row>
    <row r="378" spans="2:11" ht="15.75" hidden="1" customHeight="1" x14ac:dyDescent="0.2">
      <c r="B378" s="4" t="s">
        <v>2523</v>
      </c>
      <c r="C378" s="17" t="s">
        <v>104</v>
      </c>
      <c r="D378" s="17" t="s">
        <v>18</v>
      </c>
      <c r="E378" s="17" t="s">
        <v>5</v>
      </c>
      <c r="F378" s="4" t="s">
        <v>2807</v>
      </c>
      <c r="G378" s="28" t="s">
        <v>3</v>
      </c>
      <c r="H378" s="6" t="s">
        <v>3</v>
      </c>
      <c r="I378" s="5" t="s">
        <v>2</v>
      </c>
      <c r="J378" s="17" t="s">
        <v>1121</v>
      </c>
      <c r="K378" s="17" t="s">
        <v>0</v>
      </c>
    </row>
    <row r="379" spans="2:11" ht="15.75" hidden="1" customHeight="1" x14ac:dyDescent="0.2">
      <c r="B379" s="4" t="s">
        <v>2523</v>
      </c>
      <c r="C379" s="4" t="s">
        <v>228</v>
      </c>
      <c r="D379" s="4" t="s">
        <v>36</v>
      </c>
      <c r="E379" s="5" t="s">
        <v>5</v>
      </c>
      <c r="F379" s="4" t="s">
        <v>2806</v>
      </c>
      <c r="G379" s="4" t="s">
        <v>273</v>
      </c>
      <c r="H379" s="6" t="s">
        <v>272</v>
      </c>
      <c r="I379" s="5" t="s">
        <v>2</v>
      </c>
      <c r="J379" s="5" t="s">
        <v>1121</v>
      </c>
      <c r="K379" s="5" t="s">
        <v>0</v>
      </c>
    </row>
    <row r="380" spans="2:11" ht="15.75" hidden="1" customHeight="1" x14ac:dyDescent="0.2">
      <c r="B380" s="4" t="s">
        <v>2523</v>
      </c>
      <c r="C380" s="5" t="s">
        <v>111</v>
      </c>
      <c r="D380" s="5" t="s">
        <v>24</v>
      </c>
      <c r="E380" s="5" t="s">
        <v>55</v>
      </c>
      <c r="F380" s="4" t="s">
        <v>2805</v>
      </c>
      <c r="G380" s="5" t="s">
        <v>447</v>
      </c>
      <c r="H380" s="6" t="s">
        <v>272</v>
      </c>
      <c r="I380" s="5" t="s">
        <v>2</v>
      </c>
      <c r="J380" s="5" t="s">
        <v>1121</v>
      </c>
      <c r="K380" s="5" t="s">
        <v>0</v>
      </c>
    </row>
    <row r="381" spans="2:11" ht="15.75" hidden="1" customHeight="1" x14ac:dyDescent="0.2">
      <c r="B381" s="4" t="s">
        <v>2523</v>
      </c>
      <c r="C381" s="4" t="s">
        <v>228</v>
      </c>
      <c r="D381" s="4" t="s">
        <v>36</v>
      </c>
      <c r="E381" s="5" t="s">
        <v>5</v>
      </c>
      <c r="F381" s="4" t="s">
        <v>2804</v>
      </c>
      <c r="G381" s="4" t="s">
        <v>273</v>
      </c>
      <c r="H381" s="6" t="s">
        <v>272</v>
      </c>
      <c r="I381" s="5" t="s">
        <v>2</v>
      </c>
      <c r="J381" s="5" t="s">
        <v>1121</v>
      </c>
      <c r="K381" s="5" t="s">
        <v>0</v>
      </c>
    </row>
    <row r="382" spans="2:11" ht="15.75" hidden="1" customHeight="1" x14ac:dyDescent="0.2">
      <c r="B382" s="4" t="s">
        <v>2523</v>
      </c>
      <c r="C382" s="4" t="s">
        <v>228</v>
      </c>
      <c r="D382" s="4" t="s">
        <v>36</v>
      </c>
      <c r="E382" s="5" t="s">
        <v>5</v>
      </c>
      <c r="F382" s="4" t="s">
        <v>2803</v>
      </c>
      <c r="G382" s="4" t="s">
        <v>273</v>
      </c>
      <c r="H382" s="6" t="s">
        <v>272</v>
      </c>
      <c r="I382" s="5" t="s">
        <v>2</v>
      </c>
      <c r="J382" s="5" t="s">
        <v>1121</v>
      </c>
      <c r="K382" s="5" t="s">
        <v>0</v>
      </c>
    </row>
    <row r="383" spans="2:11" ht="15.75" hidden="1" customHeight="1" x14ac:dyDescent="0.2">
      <c r="B383" s="4" t="s">
        <v>2523</v>
      </c>
      <c r="C383" s="5" t="s">
        <v>676</v>
      </c>
      <c r="D383" s="5" t="s">
        <v>28</v>
      </c>
      <c r="E383" s="5" t="s">
        <v>5</v>
      </c>
      <c r="F383" s="4" t="s">
        <v>2802</v>
      </c>
      <c r="G383" s="14" t="s">
        <v>11</v>
      </c>
      <c r="H383" s="6" t="s">
        <v>11</v>
      </c>
      <c r="I383" s="5" t="s">
        <v>2</v>
      </c>
      <c r="J383" s="5" t="s">
        <v>1121</v>
      </c>
      <c r="K383" s="5" t="s">
        <v>0</v>
      </c>
    </row>
    <row r="384" spans="2:11" ht="15.75" hidden="1" customHeight="1" x14ac:dyDescent="0.2">
      <c r="B384" s="4" t="s">
        <v>2523</v>
      </c>
      <c r="C384" s="4"/>
      <c r="D384" s="4" t="s">
        <v>236</v>
      </c>
      <c r="E384" s="5" t="s">
        <v>5</v>
      </c>
      <c r="F384" s="4" t="s">
        <v>2801</v>
      </c>
      <c r="G384" s="14" t="s">
        <v>1204</v>
      </c>
      <c r="H384" s="6" t="s">
        <v>272</v>
      </c>
      <c r="I384" s="5" t="s">
        <v>2</v>
      </c>
      <c r="J384" s="5" t="s">
        <v>1121</v>
      </c>
      <c r="K384" s="5" t="s">
        <v>0</v>
      </c>
    </row>
    <row r="385" spans="2:11" ht="15.75" hidden="1" customHeight="1" x14ac:dyDescent="0.2">
      <c r="B385" s="4" t="s">
        <v>2523</v>
      </c>
      <c r="C385" s="4" t="s">
        <v>2800</v>
      </c>
      <c r="D385" s="4" t="s">
        <v>236</v>
      </c>
      <c r="E385" s="5" t="s">
        <v>5</v>
      </c>
      <c r="F385" s="4" t="s">
        <v>2799</v>
      </c>
      <c r="G385" s="14" t="s">
        <v>348</v>
      </c>
      <c r="H385" s="6" t="s">
        <v>11</v>
      </c>
      <c r="I385" s="5" t="s">
        <v>2</v>
      </c>
      <c r="J385" s="5" t="s">
        <v>1121</v>
      </c>
      <c r="K385" s="5" t="s">
        <v>0</v>
      </c>
    </row>
    <row r="386" spans="2:11" ht="15.75" hidden="1" customHeight="1" x14ac:dyDescent="0.2">
      <c r="B386" s="4" t="s">
        <v>2523</v>
      </c>
      <c r="C386" s="4" t="s">
        <v>626</v>
      </c>
      <c r="D386" s="4" t="s">
        <v>236</v>
      </c>
      <c r="E386" s="4" t="s">
        <v>5</v>
      </c>
      <c r="F386" s="4" t="s">
        <v>2798</v>
      </c>
      <c r="G386" s="14" t="s">
        <v>348</v>
      </c>
      <c r="H386" s="6" t="s">
        <v>11</v>
      </c>
      <c r="I386" s="5" t="s">
        <v>2</v>
      </c>
      <c r="J386" s="5" t="s">
        <v>1121</v>
      </c>
      <c r="K386" s="5" t="s">
        <v>0</v>
      </c>
    </row>
    <row r="387" spans="2:11" ht="15.75" hidden="1" customHeight="1" x14ac:dyDescent="0.2">
      <c r="B387" s="4" t="s">
        <v>2523</v>
      </c>
      <c r="C387" s="4" t="s">
        <v>228</v>
      </c>
      <c r="D387" s="4" t="s">
        <v>36</v>
      </c>
      <c r="E387" s="5" t="s">
        <v>5</v>
      </c>
      <c r="F387" s="4" t="s">
        <v>2797</v>
      </c>
      <c r="G387" s="4" t="s">
        <v>273</v>
      </c>
      <c r="H387" s="6" t="s">
        <v>272</v>
      </c>
      <c r="I387" s="5" t="s">
        <v>2</v>
      </c>
      <c r="J387" s="5" t="s">
        <v>1121</v>
      </c>
      <c r="K387" s="5" t="s">
        <v>0</v>
      </c>
    </row>
    <row r="388" spans="2:11" ht="15.75" hidden="1" customHeight="1" x14ac:dyDescent="0.2">
      <c r="B388" s="4" t="s">
        <v>2523</v>
      </c>
      <c r="C388" s="4" t="s">
        <v>626</v>
      </c>
      <c r="D388" s="4" t="s">
        <v>236</v>
      </c>
      <c r="E388" s="4" t="s">
        <v>5</v>
      </c>
      <c r="F388" s="4" t="s">
        <v>2796</v>
      </c>
      <c r="G388" s="14" t="s">
        <v>348</v>
      </c>
      <c r="H388" s="6" t="s">
        <v>11</v>
      </c>
      <c r="I388" s="5" t="s">
        <v>2</v>
      </c>
      <c r="J388" s="5" t="s">
        <v>2728</v>
      </c>
      <c r="K388" s="5" t="s">
        <v>0</v>
      </c>
    </row>
    <row r="389" spans="2:11" ht="15.75" hidden="1" customHeight="1" x14ac:dyDescent="0.2">
      <c r="B389" s="4" t="s">
        <v>2523</v>
      </c>
      <c r="C389" s="4" t="s">
        <v>228</v>
      </c>
      <c r="D389" s="4" t="s">
        <v>36</v>
      </c>
      <c r="E389" s="5" t="s">
        <v>5</v>
      </c>
      <c r="F389" s="4" t="s">
        <v>2795</v>
      </c>
      <c r="G389" s="4" t="s">
        <v>273</v>
      </c>
      <c r="H389" s="6" t="s">
        <v>272</v>
      </c>
      <c r="I389" s="5" t="s">
        <v>2</v>
      </c>
      <c r="J389" s="5" t="s">
        <v>1121</v>
      </c>
      <c r="K389" s="5" t="s">
        <v>0</v>
      </c>
    </row>
    <row r="390" spans="2:11" ht="15.75" hidden="1" customHeight="1" x14ac:dyDescent="0.2">
      <c r="B390" s="4" t="s">
        <v>2523</v>
      </c>
      <c r="C390" s="4" t="s">
        <v>566</v>
      </c>
      <c r="D390" s="5" t="s">
        <v>42</v>
      </c>
      <c r="E390" s="5" t="s">
        <v>5</v>
      </c>
      <c r="F390" s="4" t="s">
        <v>2794</v>
      </c>
      <c r="G390" s="14" t="s">
        <v>11</v>
      </c>
      <c r="H390" s="6" t="s">
        <v>11</v>
      </c>
      <c r="I390" s="5" t="s">
        <v>2</v>
      </c>
      <c r="J390" s="5" t="s">
        <v>1121</v>
      </c>
      <c r="K390" s="5" t="s">
        <v>0</v>
      </c>
    </row>
    <row r="391" spans="2:11" ht="15.75" hidden="1" customHeight="1" x14ac:dyDescent="0.2">
      <c r="B391" s="4" t="s">
        <v>2523</v>
      </c>
      <c r="C391" s="5" t="s">
        <v>2793</v>
      </c>
      <c r="D391" s="5" t="s">
        <v>24</v>
      </c>
      <c r="E391" s="5" t="s">
        <v>5</v>
      </c>
      <c r="F391" s="4" t="s">
        <v>2792</v>
      </c>
      <c r="G391" s="14" t="s">
        <v>11</v>
      </c>
      <c r="H391" s="6" t="s">
        <v>11</v>
      </c>
      <c r="I391" s="5" t="s">
        <v>2</v>
      </c>
      <c r="J391" s="5" t="s">
        <v>1121</v>
      </c>
      <c r="K391" s="5" t="s">
        <v>0</v>
      </c>
    </row>
    <row r="392" spans="2:11" ht="15.75" hidden="1" customHeight="1" x14ac:dyDescent="0.2">
      <c r="B392" s="4" t="s">
        <v>2523</v>
      </c>
      <c r="C392" s="4" t="s">
        <v>228</v>
      </c>
      <c r="D392" s="4" t="s">
        <v>36</v>
      </c>
      <c r="E392" s="5" t="s">
        <v>5</v>
      </c>
      <c r="F392" s="4" t="s">
        <v>2791</v>
      </c>
      <c r="G392" s="4" t="s">
        <v>273</v>
      </c>
      <c r="H392" s="6" t="s">
        <v>272</v>
      </c>
      <c r="I392" s="5" t="s">
        <v>2</v>
      </c>
      <c r="J392" s="5" t="s">
        <v>1121</v>
      </c>
      <c r="K392" s="5" t="s">
        <v>0</v>
      </c>
    </row>
    <row r="393" spans="2:11" ht="15.75" hidden="1" customHeight="1" x14ac:dyDescent="0.2">
      <c r="B393" s="4" t="s">
        <v>2523</v>
      </c>
      <c r="C393" s="4" t="s">
        <v>228</v>
      </c>
      <c r="D393" s="4" t="s">
        <v>36</v>
      </c>
      <c r="E393" s="5" t="s">
        <v>5</v>
      </c>
      <c r="F393" s="4" t="s">
        <v>2790</v>
      </c>
      <c r="G393" s="4" t="s">
        <v>273</v>
      </c>
      <c r="H393" s="6" t="s">
        <v>272</v>
      </c>
      <c r="I393" s="5" t="s">
        <v>2</v>
      </c>
      <c r="J393" s="5" t="s">
        <v>1121</v>
      </c>
      <c r="K393" s="5" t="s">
        <v>0</v>
      </c>
    </row>
    <row r="394" spans="2:11" ht="15.75" hidden="1" customHeight="1" x14ac:dyDescent="0.2">
      <c r="B394" s="4" t="s">
        <v>2523</v>
      </c>
      <c r="C394" s="4" t="s">
        <v>228</v>
      </c>
      <c r="D394" s="4" t="s">
        <v>36</v>
      </c>
      <c r="E394" s="5" t="s">
        <v>5</v>
      </c>
      <c r="F394" s="4" t="s">
        <v>2789</v>
      </c>
      <c r="G394" s="4" t="s">
        <v>273</v>
      </c>
      <c r="H394" s="6" t="s">
        <v>272</v>
      </c>
      <c r="I394" s="5" t="s">
        <v>2</v>
      </c>
      <c r="J394" s="5" t="s">
        <v>1121</v>
      </c>
      <c r="K394" s="5" t="s">
        <v>0</v>
      </c>
    </row>
    <row r="395" spans="2:11" ht="15.75" hidden="1" customHeight="1" x14ac:dyDescent="0.2">
      <c r="B395" s="4" t="s">
        <v>2523</v>
      </c>
      <c r="C395" s="4" t="s">
        <v>228</v>
      </c>
      <c r="D395" s="4" t="s">
        <v>36</v>
      </c>
      <c r="E395" s="5" t="s">
        <v>5</v>
      </c>
      <c r="F395" s="4" t="s">
        <v>2788</v>
      </c>
      <c r="G395" s="4" t="s">
        <v>273</v>
      </c>
      <c r="H395" s="6" t="s">
        <v>272</v>
      </c>
      <c r="I395" s="5" t="s">
        <v>2</v>
      </c>
      <c r="J395" s="5" t="s">
        <v>1121</v>
      </c>
      <c r="K395" s="5" t="s">
        <v>0</v>
      </c>
    </row>
    <row r="396" spans="2:11" ht="15.75" hidden="1" customHeight="1" x14ac:dyDescent="0.2">
      <c r="B396" s="4" t="s">
        <v>2523</v>
      </c>
      <c r="C396" s="4" t="s">
        <v>228</v>
      </c>
      <c r="D396" s="4" t="s">
        <v>36</v>
      </c>
      <c r="E396" s="5" t="s">
        <v>5</v>
      </c>
      <c r="F396" s="4" t="s">
        <v>2787</v>
      </c>
      <c r="G396" s="4" t="s">
        <v>273</v>
      </c>
      <c r="H396" s="6" t="s">
        <v>272</v>
      </c>
      <c r="I396" s="5" t="s">
        <v>2</v>
      </c>
      <c r="J396" s="5" t="s">
        <v>1121</v>
      </c>
      <c r="K396" s="5" t="s">
        <v>0</v>
      </c>
    </row>
    <row r="397" spans="2:11" ht="15.75" hidden="1" customHeight="1" x14ac:dyDescent="0.2">
      <c r="B397" s="4" t="s">
        <v>2523</v>
      </c>
      <c r="C397" s="4" t="s">
        <v>228</v>
      </c>
      <c r="D397" s="4" t="s">
        <v>36</v>
      </c>
      <c r="E397" s="5" t="s">
        <v>5</v>
      </c>
      <c r="F397" s="4" t="s">
        <v>2786</v>
      </c>
      <c r="G397" s="4" t="s">
        <v>273</v>
      </c>
      <c r="H397" s="6" t="s">
        <v>272</v>
      </c>
      <c r="I397" s="5" t="s">
        <v>2</v>
      </c>
      <c r="J397" s="5" t="s">
        <v>1121</v>
      </c>
      <c r="K397" s="5" t="s">
        <v>0</v>
      </c>
    </row>
    <row r="398" spans="2:11" ht="15.75" hidden="1" customHeight="1" x14ac:dyDescent="0.2">
      <c r="B398" s="4" t="s">
        <v>2523</v>
      </c>
      <c r="C398" s="4" t="s">
        <v>228</v>
      </c>
      <c r="D398" s="4" t="s">
        <v>36</v>
      </c>
      <c r="E398" s="5" t="s">
        <v>5</v>
      </c>
      <c r="F398" s="4" t="s">
        <v>2785</v>
      </c>
      <c r="G398" s="4" t="s">
        <v>273</v>
      </c>
      <c r="H398" s="6" t="s">
        <v>272</v>
      </c>
      <c r="I398" s="5" t="s">
        <v>2</v>
      </c>
      <c r="J398" s="5" t="s">
        <v>1121</v>
      </c>
      <c r="K398" s="5" t="s">
        <v>0</v>
      </c>
    </row>
    <row r="399" spans="2:11" ht="15.75" hidden="1" customHeight="1" x14ac:dyDescent="0.2">
      <c r="B399" s="4" t="s">
        <v>2523</v>
      </c>
      <c r="C399" s="4" t="s">
        <v>228</v>
      </c>
      <c r="D399" s="4" t="s">
        <v>36</v>
      </c>
      <c r="E399" s="4" t="s">
        <v>23</v>
      </c>
      <c r="F399" s="4" t="s">
        <v>2784</v>
      </c>
      <c r="G399" s="4" t="s">
        <v>273</v>
      </c>
      <c r="H399" s="6" t="s">
        <v>272</v>
      </c>
      <c r="I399" s="5" t="s">
        <v>2</v>
      </c>
      <c r="J399" s="5" t="s">
        <v>2580</v>
      </c>
      <c r="K399" s="5" t="s">
        <v>0</v>
      </c>
    </row>
    <row r="400" spans="2:11" ht="15.75" hidden="1" customHeight="1" x14ac:dyDescent="0.2">
      <c r="B400" s="4" t="s">
        <v>2523</v>
      </c>
      <c r="C400" s="4" t="s">
        <v>228</v>
      </c>
      <c r="D400" s="4" t="s">
        <v>36</v>
      </c>
      <c r="E400" s="5" t="s">
        <v>5</v>
      </c>
      <c r="F400" s="4" t="s">
        <v>2783</v>
      </c>
      <c r="G400" s="4" t="s">
        <v>273</v>
      </c>
      <c r="H400" s="6" t="s">
        <v>272</v>
      </c>
      <c r="I400" s="5" t="s">
        <v>2</v>
      </c>
      <c r="J400" s="5" t="s">
        <v>1121</v>
      </c>
      <c r="K400" s="5" t="s">
        <v>0</v>
      </c>
    </row>
    <row r="401" spans="2:11" ht="15.75" hidden="1" customHeight="1" x14ac:dyDescent="0.2">
      <c r="B401" s="4" t="s">
        <v>2523</v>
      </c>
      <c r="C401" s="4" t="s">
        <v>228</v>
      </c>
      <c r="D401" s="4" t="s">
        <v>36</v>
      </c>
      <c r="E401" s="5" t="s">
        <v>5</v>
      </c>
      <c r="F401" s="4" t="s">
        <v>2782</v>
      </c>
      <c r="G401" s="4" t="s">
        <v>273</v>
      </c>
      <c r="H401" s="6" t="s">
        <v>272</v>
      </c>
      <c r="I401" s="5" t="s">
        <v>2</v>
      </c>
      <c r="J401" s="5" t="s">
        <v>1121</v>
      </c>
      <c r="K401" s="5" t="s">
        <v>0</v>
      </c>
    </row>
    <row r="402" spans="2:11" ht="15.75" hidden="1" customHeight="1" x14ac:dyDescent="0.2">
      <c r="B402" s="4" t="s">
        <v>2523</v>
      </c>
      <c r="C402" s="4" t="s">
        <v>228</v>
      </c>
      <c r="D402" s="4" t="s">
        <v>36</v>
      </c>
      <c r="E402" s="5" t="s">
        <v>5</v>
      </c>
      <c r="F402" s="4" t="s">
        <v>2781</v>
      </c>
      <c r="G402" s="4" t="s">
        <v>273</v>
      </c>
      <c r="H402" s="6" t="s">
        <v>272</v>
      </c>
      <c r="I402" s="5" t="s">
        <v>2</v>
      </c>
      <c r="J402" s="5" t="s">
        <v>1121</v>
      </c>
      <c r="K402" s="5" t="s">
        <v>0</v>
      </c>
    </row>
    <row r="403" spans="2:11" ht="15.75" hidden="1" customHeight="1" x14ac:dyDescent="0.2">
      <c r="B403" s="4" t="s">
        <v>2523</v>
      </c>
      <c r="C403" s="4" t="s">
        <v>228</v>
      </c>
      <c r="D403" s="4" t="s">
        <v>36</v>
      </c>
      <c r="E403" s="5" t="s">
        <v>5</v>
      </c>
      <c r="F403" s="4" t="s">
        <v>2780</v>
      </c>
      <c r="G403" s="4" t="s">
        <v>273</v>
      </c>
      <c r="H403" s="6" t="s">
        <v>272</v>
      </c>
      <c r="I403" s="5" t="s">
        <v>2</v>
      </c>
      <c r="J403" s="5" t="s">
        <v>1121</v>
      </c>
      <c r="K403" s="5" t="s">
        <v>0</v>
      </c>
    </row>
    <row r="404" spans="2:11" ht="15.75" hidden="1" customHeight="1" x14ac:dyDescent="0.2">
      <c r="B404" s="4" t="s">
        <v>2523</v>
      </c>
      <c r="C404" s="4" t="s">
        <v>139</v>
      </c>
      <c r="D404" s="4" t="s">
        <v>18</v>
      </c>
      <c r="E404" s="4" t="s">
        <v>55</v>
      </c>
      <c r="F404" s="4" t="s">
        <v>2779</v>
      </c>
      <c r="G404" s="20" t="s">
        <v>3</v>
      </c>
      <c r="H404" s="6" t="s">
        <v>3</v>
      </c>
      <c r="I404" s="5" t="s">
        <v>2</v>
      </c>
      <c r="J404" s="5" t="s">
        <v>2533</v>
      </c>
      <c r="K404" s="5" t="s">
        <v>0</v>
      </c>
    </row>
    <row r="405" spans="2:11" ht="15.75" hidden="1" customHeight="1" x14ac:dyDescent="0.2">
      <c r="B405" s="4" t="s">
        <v>2523</v>
      </c>
      <c r="C405" s="4" t="s">
        <v>228</v>
      </c>
      <c r="D405" s="4" t="s">
        <v>36</v>
      </c>
      <c r="E405" s="5" t="s">
        <v>5</v>
      </c>
      <c r="F405" s="4" t="s">
        <v>2778</v>
      </c>
      <c r="G405" s="4" t="s">
        <v>273</v>
      </c>
      <c r="H405" s="6" t="s">
        <v>272</v>
      </c>
      <c r="I405" s="5" t="s">
        <v>2</v>
      </c>
      <c r="J405" s="5" t="s">
        <v>1121</v>
      </c>
      <c r="K405" s="5" t="s">
        <v>0</v>
      </c>
    </row>
    <row r="406" spans="2:11" ht="15.75" hidden="1" customHeight="1" x14ac:dyDescent="0.2">
      <c r="B406" s="4" t="s">
        <v>2523</v>
      </c>
      <c r="C406" s="4" t="s">
        <v>594</v>
      </c>
      <c r="D406" s="4" t="s">
        <v>66</v>
      </c>
      <c r="E406" s="5" t="s">
        <v>5</v>
      </c>
      <c r="F406" s="4" t="s">
        <v>2777</v>
      </c>
      <c r="G406" s="14" t="s">
        <v>348</v>
      </c>
      <c r="H406" s="6" t="s">
        <v>11</v>
      </c>
      <c r="I406" s="5" t="s">
        <v>2</v>
      </c>
      <c r="J406" s="5" t="s">
        <v>1121</v>
      </c>
      <c r="K406" s="5" t="s">
        <v>0</v>
      </c>
    </row>
    <row r="407" spans="2:11" ht="15.75" hidden="1" customHeight="1" x14ac:dyDescent="0.2">
      <c r="B407" s="4" t="s">
        <v>2523</v>
      </c>
      <c r="C407" s="5" t="s">
        <v>137</v>
      </c>
      <c r="D407" s="5" t="s">
        <v>71</v>
      </c>
      <c r="E407" s="5" t="s">
        <v>5</v>
      </c>
      <c r="F407" s="4" t="s">
        <v>2776</v>
      </c>
      <c r="G407" s="14" t="s">
        <v>11</v>
      </c>
      <c r="H407" s="6" t="s">
        <v>11</v>
      </c>
      <c r="I407" s="5" t="s">
        <v>2</v>
      </c>
      <c r="J407" s="5" t="s">
        <v>1121</v>
      </c>
      <c r="K407" s="5" t="s">
        <v>0</v>
      </c>
    </row>
    <row r="408" spans="2:11" ht="15.75" hidden="1" customHeight="1" x14ac:dyDescent="0.2">
      <c r="B408" s="4" t="s">
        <v>2523</v>
      </c>
      <c r="C408" s="4" t="s">
        <v>228</v>
      </c>
      <c r="D408" s="4" t="s">
        <v>36</v>
      </c>
      <c r="E408" s="5" t="s">
        <v>5</v>
      </c>
      <c r="F408" s="4" t="s">
        <v>2775</v>
      </c>
      <c r="G408" s="4" t="s">
        <v>273</v>
      </c>
      <c r="H408" s="6" t="s">
        <v>272</v>
      </c>
      <c r="I408" s="5" t="s">
        <v>2</v>
      </c>
      <c r="J408" s="5" t="s">
        <v>1121</v>
      </c>
      <c r="K408" s="5" t="s">
        <v>0</v>
      </c>
    </row>
    <row r="409" spans="2:11" ht="15.75" hidden="1" customHeight="1" x14ac:dyDescent="0.2">
      <c r="B409" s="4" t="s">
        <v>2523</v>
      </c>
      <c r="C409" s="4" t="s">
        <v>228</v>
      </c>
      <c r="D409" s="4" t="s">
        <v>36</v>
      </c>
      <c r="E409" s="5" t="s">
        <v>5</v>
      </c>
      <c r="F409" s="4" t="s">
        <v>2774</v>
      </c>
      <c r="G409" s="4" t="s">
        <v>273</v>
      </c>
      <c r="H409" s="6" t="s">
        <v>272</v>
      </c>
      <c r="I409" s="5" t="s">
        <v>2</v>
      </c>
      <c r="J409" s="5" t="s">
        <v>1121</v>
      </c>
      <c r="K409" s="5" t="s">
        <v>0</v>
      </c>
    </row>
    <row r="410" spans="2:11" ht="15.75" hidden="1" customHeight="1" x14ac:dyDescent="0.2">
      <c r="B410" s="4" t="s">
        <v>2523</v>
      </c>
      <c r="C410" s="4" t="s">
        <v>228</v>
      </c>
      <c r="D410" s="4" t="s">
        <v>36</v>
      </c>
      <c r="E410" s="5" t="s">
        <v>5</v>
      </c>
      <c r="F410" s="4" t="s">
        <v>2773</v>
      </c>
      <c r="G410" s="4" t="s">
        <v>273</v>
      </c>
      <c r="H410" s="6" t="s">
        <v>272</v>
      </c>
      <c r="I410" s="5" t="s">
        <v>2</v>
      </c>
      <c r="J410" s="5" t="s">
        <v>1121</v>
      </c>
      <c r="K410" s="5" t="s">
        <v>0</v>
      </c>
    </row>
    <row r="411" spans="2:11" ht="15.75" hidden="1" customHeight="1" x14ac:dyDescent="0.2">
      <c r="B411" s="4" t="s">
        <v>2523</v>
      </c>
      <c r="C411" s="4"/>
      <c r="D411" s="4" t="s">
        <v>236</v>
      </c>
      <c r="E411" s="5" t="s">
        <v>5</v>
      </c>
      <c r="F411" s="4" t="s">
        <v>2772</v>
      </c>
      <c r="G411" s="14" t="s">
        <v>348</v>
      </c>
      <c r="H411" s="6" t="s">
        <v>11</v>
      </c>
      <c r="I411" s="5" t="s">
        <v>2</v>
      </c>
      <c r="J411" s="5" t="s">
        <v>1121</v>
      </c>
      <c r="K411" s="5" t="s">
        <v>0</v>
      </c>
    </row>
    <row r="412" spans="2:11" ht="15.75" hidden="1" customHeight="1" x14ac:dyDescent="0.2">
      <c r="B412" s="4" t="s">
        <v>2523</v>
      </c>
      <c r="C412" s="4" t="s">
        <v>228</v>
      </c>
      <c r="D412" s="4" t="s">
        <v>36</v>
      </c>
      <c r="E412" s="4" t="s">
        <v>5</v>
      </c>
      <c r="F412" s="4" t="s">
        <v>2771</v>
      </c>
      <c r="G412" s="4" t="s">
        <v>273</v>
      </c>
      <c r="H412" s="6" t="s">
        <v>272</v>
      </c>
      <c r="I412" s="5" t="s">
        <v>2</v>
      </c>
      <c r="J412" s="5" t="s">
        <v>1121</v>
      </c>
      <c r="K412" s="5"/>
    </row>
    <row r="413" spans="2:11" ht="15.75" hidden="1" customHeight="1" x14ac:dyDescent="0.2">
      <c r="B413" s="4" t="s">
        <v>2523</v>
      </c>
      <c r="C413" s="5" t="s">
        <v>89</v>
      </c>
      <c r="D413" s="5" t="s">
        <v>88</v>
      </c>
      <c r="E413" s="5" t="s">
        <v>5</v>
      </c>
      <c r="F413" s="4" t="s">
        <v>2770</v>
      </c>
      <c r="G413" s="14" t="s">
        <v>11</v>
      </c>
      <c r="H413" s="6" t="s">
        <v>11</v>
      </c>
      <c r="I413" s="5" t="s">
        <v>2</v>
      </c>
      <c r="J413" s="5" t="s">
        <v>1121</v>
      </c>
      <c r="K413" s="5" t="s">
        <v>0</v>
      </c>
    </row>
    <row r="414" spans="2:11" ht="15.75" hidden="1" customHeight="1" x14ac:dyDescent="0.2">
      <c r="B414" s="4" t="s">
        <v>2523</v>
      </c>
      <c r="C414" s="5" t="s">
        <v>104</v>
      </c>
      <c r="D414" s="5" t="s">
        <v>18</v>
      </c>
      <c r="E414" s="5" t="s">
        <v>5</v>
      </c>
      <c r="F414" s="4" t="s">
        <v>2769</v>
      </c>
      <c r="G414" s="14" t="s">
        <v>11</v>
      </c>
      <c r="H414" s="6" t="s">
        <v>11</v>
      </c>
      <c r="I414" s="5" t="s">
        <v>2</v>
      </c>
      <c r="J414" s="5" t="s">
        <v>1121</v>
      </c>
      <c r="K414" s="5" t="s">
        <v>0</v>
      </c>
    </row>
    <row r="415" spans="2:11" ht="15.75" hidden="1" customHeight="1" x14ac:dyDescent="0.2">
      <c r="B415" s="4" t="s">
        <v>2523</v>
      </c>
      <c r="C415" s="5" t="s">
        <v>150</v>
      </c>
      <c r="D415" s="5" t="s">
        <v>150</v>
      </c>
      <c r="E415" s="5" t="s">
        <v>5</v>
      </c>
      <c r="F415" s="4" t="s">
        <v>2768</v>
      </c>
      <c r="G415" s="14" t="s">
        <v>11</v>
      </c>
      <c r="H415" s="6" t="s">
        <v>11</v>
      </c>
      <c r="I415" s="5" t="s">
        <v>2</v>
      </c>
      <c r="J415" s="5" t="s">
        <v>1121</v>
      </c>
      <c r="K415" s="5" t="s">
        <v>0</v>
      </c>
    </row>
    <row r="416" spans="2:11" ht="15.75" hidden="1" customHeight="1" x14ac:dyDescent="0.2">
      <c r="B416" s="4" t="s">
        <v>2523</v>
      </c>
      <c r="C416" s="4" t="s">
        <v>228</v>
      </c>
      <c r="D416" s="4" t="s">
        <v>36</v>
      </c>
      <c r="E416" s="5" t="s">
        <v>5</v>
      </c>
      <c r="F416" s="4" t="s">
        <v>2767</v>
      </c>
      <c r="G416" s="4" t="s">
        <v>273</v>
      </c>
      <c r="H416" s="6" t="s">
        <v>272</v>
      </c>
      <c r="I416" s="5" t="s">
        <v>2</v>
      </c>
      <c r="J416" s="5" t="s">
        <v>1121</v>
      </c>
      <c r="K416" s="5" t="s">
        <v>0</v>
      </c>
    </row>
    <row r="417" spans="2:11" ht="15.75" hidden="1" customHeight="1" x14ac:dyDescent="0.2">
      <c r="B417" s="4" t="s">
        <v>2523</v>
      </c>
      <c r="C417" s="4" t="s">
        <v>228</v>
      </c>
      <c r="D417" s="4" t="s">
        <v>36</v>
      </c>
      <c r="E417" s="5" t="s">
        <v>5</v>
      </c>
      <c r="F417" s="4" t="s">
        <v>2766</v>
      </c>
      <c r="G417" s="4" t="s">
        <v>273</v>
      </c>
      <c r="H417" s="6" t="s">
        <v>272</v>
      </c>
      <c r="I417" s="5" t="s">
        <v>2</v>
      </c>
      <c r="J417" s="5" t="s">
        <v>1121</v>
      </c>
      <c r="K417" s="5" t="s">
        <v>0</v>
      </c>
    </row>
    <row r="418" spans="2:11" ht="15.75" hidden="1" customHeight="1" x14ac:dyDescent="0.2">
      <c r="B418" s="4" t="s">
        <v>2523</v>
      </c>
      <c r="C418" s="5" t="s">
        <v>183</v>
      </c>
      <c r="D418" s="5" t="s">
        <v>150</v>
      </c>
      <c r="E418" s="5" t="s">
        <v>5</v>
      </c>
      <c r="F418" s="4" t="s">
        <v>2765</v>
      </c>
      <c r="G418" s="14" t="s">
        <v>207</v>
      </c>
      <c r="H418" s="6" t="s">
        <v>11</v>
      </c>
      <c r="I418" s="5" t="s">
        <v>2</v>
      </c>
      <c r="J418" s="5" t="s">
        <v>1121</v>
      </c>
      <c r="K418" s="5" t="s">
        <v>0</v>
      </c>
    </row>
    <row r="419" spans="2:11" ht="15.75" hidden="1" customHeight="1" x14ac:dyDescent="0.2">
      <c r="B419" s="4" t="s">
        <v>2523</v>
      </c>
      <c r="C419" s="4" t="s">
        <v>228</v>
      </c>
      <c r="D419" s="4" t="s">
        <v>36</v>
      </c>
      <c r="E419" s="5" t="s">
        <v>5</v>
      </c>
      <c r="F419" s="4" t="s">
        <v>2764</v>
      </c>
      <c r="G419" s="4" t="s">
        <v>273</v>
      </c>
      <c r="H419" s="6" t="s">
        <v>272</v>
      </c>
      <c r="I419" s="5" t="s">
        <v>2</v>
      </c>
      <c r="J419" s="5" t="s">
        <v>1121</v>
      </c>
      <c r="K419" s="5" t="s">
        <v>0</v>
      </c>
    </row>
    <row r="420" spans="2:11" ht="15.75" hidden="1" customHeight="1" x14ac:dyDescent="0.2">
      <c r="B420" s="4" t="s">
        <v>2523</v>
      </c>
      <c r="C420" s="4" t="s">
        <v>228</v>
      </c>
      <c r="D420" s="4" t="s">
        <v>36</v>
      </c>
      <c r="E420" s="5" t="s">
        <v>5</v>
      </c>
      <c r="F420" s="4" t="s">
        <v>2763</v>
      </c>
      <c r="G420" s="4" t="s">
        <v>273</v>
      </c>
      <c r="H420" s="6" t="s">
        <v>272</v>
      </c>
      <c r="I420" s="5" t="s">
        <v>2</v>
      </c>
      <c r="J420" s="5" t="s">
        <v>1121</v>
      </c>
      <c r="K420" s="5" t="s">
        <v>0</v>
      </c>
    </row>
    <row r="421" spans="2:11" ht="15.75" hidden="1" customHeight="1" x14ac:dyDescent="0.2">
      <c r="B421" s="4" t="s">
        <v>2523</v>
      </c>
      <c r="C421" s="4" t="s">
        <v>228</v>
      </c>
      <c r="D421" s="4" t="s">
        <v>36</v>
      </c>
      <c r="E421" s="5" t="s">
        <v>5</v>
      </c>
      <c r="F421" s="4" t="s">
        <v>2762</v>
      </c>
      <c r="G421" s="4" t="s">
        <v>273</v>
      </c>
      <c r="H421" s="6" t="s">
        <v>272</v>
      </c>
      <c r="I421" s="5" t="s">
        <v>2</v>
      </c>
      <c r="J421" s="5" t="s">
        <v>1121</v>
      </c>
      <c r="K421" s="5" t="s">
        <v>0</v>
      </c>
    </row>
    <row r="422" spans="2:11" ht="15.75" hidden="1" customHeight="1" x14ac:dyDescent="0.2">
      <c r="B422" s="4" t="s">
        <v>2523</v>
      </c>
      <c r="C422" s="4" t="s">
        <v>228</v>
      </c>
      <c r="D422" s="4" t="s">
        <v>36</v>
      </c>
      <c r="E422" s="5" t="s">
        <v>5</v>
      </c>
      <c r="F422" s="4" t="s">
        <v>2761</v>
      </c>
      <c r="G422" s="4" t="s">
        <v>273</v>
      </c>
      <c r="H422" s="6" t="s">
        <v>272</v>
      </c>
      <c r="I422" s="5" t="s">
        <v>2</v>
      </c>
      <c r="J422" s="5" t="s">
        <v>1121</v>
      </c>
      <c r="K422" s="5" t="s">
        <v>0</v>
      </c>
    </row>
    <row r="423" spans="2:11" ht="15.75" hidden="1" customHeight="1" x14ac:dyDescent="0.2">
      <c r="B423" s="4" t="s">
        <v>2523</v>
      </c>
      <c r="C423" s="5" t="s">
        <v>150</v>
      </c>
      <c r="D423" s="5" t="s">
        <v>150</v>
      </c>
      <c r="E423" s="5" t="s">
        <v>5</v>
      </c>
      <c r="F423" s="4" t="s">
        <v>2760</v>
      </c>
      <c r="G423" s="14" t="s">
        <v>11</v>
      </c>
      <c r="H423" s="6" t="s">
        <v>11</v>
      </c>
      <c r="I423" s="5" t="s">
        <v>2</v>
      </c>
      <c r="J423" s="5" t="s">
        <v>1121</v>
      </c>
      <c r="K423" s="5" t="s">
        <v>0</v>
      </c>
    </row>
    <row r="424" spans="2:11" ht="15.75" hidden="1" customHeight="1" x14ac:dyDescent="0.2">
      <c r="B424" s="4" t="s">
        <v>2523</v>
      </c>
      <c r="C424" s="5" t="s">
        <v>150</v>
      </c>
      <c r="D424" s="5" t="s">
        <v>150</v>
      </c>
      <c r="E424" s="5" t="s">
        <v>5</v>
      </c>
      <c r="F424" s="4" t="s">
        <v>2759</v>
      </c>
      <c r="G424" s="14" t="s">
        <v>11</v>
      </c>
      <c r="H424" s="6" t="s">
        <v>11</v>
      </c>
      <c r="I424" s="5" t="s">
        <v>2</v>
      </c>
      <c r="J424" s="5" t="s">
        <v>1121</v>
      </c>
      <c r="K424" s="5" t="s">
        <v>0</v>
      </c>
    </row>
    <row r="425" spans="2:11" ht="15.75" hidden="1" customHeight="1" x14ac:dyDescent="0.2">
      <c r="B425" s="4" t="s">
        <v>2523</v>
      </c>
      <c r="C425" s="5" t="s">
        <v>150</v>
      </c>
      <c r="D425" s="5" t="s">
        <v>150</v>
      </c>
      <c r="E425" s="5" t="s">
        <v>5</v>
      </c>
      <c r="F425" s="4" t="s">
        <v>2758</v>
      </c>
      <c r="G425" s="14" t="s">
        <v>11</v>
      </c>
      <c r="H425" s="6" t="s">
        <v>11</v>
      </c>
      <c r="I425" s="5" t="s">
        <v>2</v>
      </c>
      <c r="J425" s="5" t="s">
        <v>1121</v>
      </c>
      <c r="K425" s="5" t="s">
        <v>75</v>
      </c>
    </row>
    <row r="426" spans="2:11" ht="15.75" hidden="1" customHeight="1" x14ac:dyDescent="0.2">
      <c r="B426" s="4" t="s">
        <v>2523</v>
      </c>
      <c r="C426" s="5" t="s">
        <v>676</v>
      </c>
      <c r="D426" s="5" t="s">
        <v>28</v>
      </c>
      <c r="E426" s="5" t="s">
        <v>5</v>
      </c>
      <c r="F426" s="4" t="s">
        <v>2757</v>
      </c>
      <c r="G426" s="14" t="s">
        <v>11</v>
      </c>
      <c r="H426" s="6" t="s">
        <v>11</v>
      </c>
      <c r="I426" s="5" t="s">
        <v>2</v>
      </c>
      <c r="J426" s="5" t="s">
        <v>1121</v>
      </c>
      <c r="K426" s="5" t="s">
        <v>0</v>
      </c>
    </row>
    <row r="427" spans="2:11" ht="15.75" hidden="1" customHeight="1" x14ac:dyDescent="0.2">
      <c r="B427" s="4" t="s">
        <v>2523</v>
      </c>
      <c r="C427" s="4" t="s">
        <v>228</v>
      </c>
      <c r="D427" s="4" t="s">
        <v>36</v>
      </c>
      <c r="E427" s="4" t="s">
        <v>5</v>
      </c>
      <c r="F427" s="4" t="s">
        <v>2756</v>
      </c>
      <c r="G427" s="4" t="s">
        <v>273</v>
      </c>
      <c r="H427" s="6" t="s">
        <v>272</v>
      </c>
      <c r="I427" s="5" t="s">
        <v>2</v>
      </c>
      <c r="J427" s="5" t="s">
        <v>1121</v>
      </c>
      <c r="K427" s="5" t="s">
        <v>0</v>
      </c>
    </row>
    <row r="428" spans="2:11" ht="15.75" hidden="1" customHeight="1" x14ac:dyDescent="0.2">
      <c r="B428" s="4" t="s">
        <v>2523</v>
      </c>
      <c r="C428" s="4" t="s">
        <v>228</v>
      </c>
      <c r="D428" s="4" t="s">
        <v>36</v>
      </c>
      <c r="E428" s="5" t="s">
        <v>5</v>
      </c>
      <c r="F428" s="4" t="s">
        <v>2755</v>
      </c>
      <c r="G428" s="4" t="s">
        <v>273</v>
      </c>
      <c r="H428" s="6" t="s">
        <v>272</v>
      </c>
      <c r="I428" s="5" t="s">
        <v>2</v>
      </c>
      <c r="J428" s="5" t="s">
        <v>1121</v>
      </c>
      <c r="K428" s="5" t="s">
        <v>0</v>
      </c>
    </row>
    <row r="429" spans="2:11" ht="15.75" hidden="1" customHeight="1" x14ac:dyDescent="0.2">
      <c r="B429" s="4" t="s">
        <v>2523</v>
      </c>
      <c r="C429" s="4" t="s">
        <v>228</v>
      </c>
      <c r="D429" s="4" t="s">
        <v>36</v>
      </c>
      <c r="E429" s="5" t="s">
        <v>5</v>
      </c>
      <c r="F429" s="4" t="s">
        <v>2754</v>
      </c>
      <c r="G429" s="4" t="s">
        <v>273</v>
      </c>
      <c r="H429" s="6" t="s">
        <v>272</v>
      </c>
      <c r="I429" s="5" t="s">
        <v>2</v>
      </c>
      <c r="J429" s="5" t="s">
        <v>1121</v>
      </c>
      <c r="K429" s="5" t="s">
        <v>0</v>
      </c>
    </row>
    <row r="430" spans="2:11" ht="15.75" hidden="1" customHeight="1" x14ac:dyDescent="0.2">
      <c r="B430" s="4" t="s">
        <v>2523</v>
      </c>
      <c r="C430" s="5" t="s">
        <v>150</v>
      </c>
      <c r="D430" s="5" t="s">
        <v>150</v>
      </c>
      <c r="E430" s="5" t="s">
        <v>5</v>
      </c>
      <c r="F430" s="4" t="s">
        <v>2753</v>
      </c>
      <c r="G430" s="14" t="s">
        <v>11</v>
      </c>
      <c r="H430" s="6" t="s">
        <v>11</v>
      </c>
      <c r="I430" s="5" t="s">
        <v>2</v>
      </c>
      <c r="J430" s="5" t="s">
        <v>1121</v>
      </c>
      <c r="K430" s="5" t="s">
        <v>0</v>
      </c>
    </row>
    <row r="431" spans="2:11" ht="15.75" hidden="1" customHeight="1" x14ac:dyDescent="0.2">
      <c r="B431" s="4" t="s">
        <v>2523</v>
      </c>
      <c r="C431" s="4" t="s">
        <v>228</v>
      </c>
      <c r="D431" s="4" t="s">
        <v>36</v>
      </c>
      <c r="E431" s="4" t="s">
        <v>159</v>
      </c>
      <c r="F431" s="4" t="s">
        <v>2752</v>
      </c>
      <c r="G431" s="4" t="s">
        <v>273</v>
      </c>
      <c r="H431" s="6" t="s">
        <v>272</v>
      </c>
      <c r="I431" s="5" t="s">
        <v>2</v>
      </c>
      <c r="J431" s="5" t="s">
        <v>1121</v>
      </c>
      <c r="K431" s="5" t="s">
        <v>0</v>
      </c>
    </row>
    <row r="432" spans="2:11" ht="15.75" hidden="1" customHeight="1" x14ac:dyDescent="0.2">
      <c r="B432" s="4" t="s">
        <v>2523</v>
      </c>
      <c r="C432" s="4" t="s">
        <v>228</v>
      </c>
      <c r="D432" s="4" t="s">
        <v>36</v>
      </c>
      <c r="E432" s="5" t="s">
        <v>5</v>
      </c>
      <c r="F432" s="4" t="s">
        <v>2751</v>
      </c>
      <c r="G432" s="4" t="s">
        <v>273</v>
      </c>
      <c r="H432" s="6" t="s">
        <v>272</v>
      </c>
      <c r="I432" s="5" t="s">
        <v>2</v>
      </c>
      <c r="J432" s="5" t="s">
        <v>1121</v>
      </c>
      <c r="K432" s="5" t="s">
        <v>0</v>
      </c>
    </row>
    <row r="433" spans="2:11" ht="15.75" hidden="1" customHeight="1" x14ac:dyDescent="0.2">
      <c r="B433" s="4" t="s">
        <v>2523</v>
      </c>
      <c r="C433" s="5" t="s">
        <v>299</v>
      </c>
      <c r="D433" s="5" t="s">
        <v>28</v>
      </c>
      <c r="E433" s="5" t="s">
        <v>5</v>
      </c>
      <c r="F433" s="4" t="s">
        <v>2750</v>
      </c>
      <c r="G433" s="14" t="s">
        <v>11</v>
      </c>
      <c r="H433" s="6" t="s">
        <v>11</v>
      </c>
      <c r="I433" s="5" t="s">
        <v>2</v>
      </c>
      <c r="J433" s="5" t="s">
        <v>1121</v>
      </c>
      <c r="K433" s="5" t="s">
        <v>0</v>
      </c>
    </row>
    <row r="434" spans="2:11" ht="15.75" hidden="1" customHeight="1" x14ac:dyDescent="0.2">
      <c r="B434" s="4" t="s">
        <v>2523</v>
      </c>
      <c r="C434" s="4" t="s">
        <v>228</v>
      </c>
      <c r="D434" s="4" t="s">
        <v>36</v>
      </c>
      <c r="E434" s="5" t="s">
        <v>5</v>
      </c>
      <c r="F434" s="4" t="s">
        <v>2749</v>
      </c>
      <c r="G434" s="4" t="s">
        <v>273</v>
      </c>
      <c r="H434" s="6" t="s">
        <v>272</v>
      </c>
      <c r="I434" s="5" t="s">
        <v>2</v>
      </c>
      <c r="J434" s="5" t="s">
        <v>1121</v>
      </c>
      <c r="K434" s="5" t="s">
        <v>0</v>
      </c>
    </row>
    <row r="435" spans="2:11" ht="15.75" hidden="1" customHeight="1" x14ac:dyDescent="0.2">
      <c r="B435" s="4" t="s">
        <v>2523</v>
      </c>
      <c r="C435" s="4" t="s">
        <v>228</v>
      </c>
      <c r="D435" s="4" t="s">
        <v>36</v>
      </c>
      <c r="E435" s="5" t="s">
        <v>5</v>
      </c>
      <c r="F435" s="4" t="s">
        <v>2748</v>
      </c>
      <c r="G435" s="4" t="s">
        <v>273</v>
      </c>
      <c r="H435" s="6" t="s">
        <v>272</v>
      </c>
      <c r="I435" s="5" t="s">
        <v>2</v>
      </c>
      <c r="J435" s="5" t="s">
        <v>1121</v>
      </c>
      <c r="K435" s="5" t="s">
        <v>0</v>
      </c>
    </row>
    <row r="436" spans="2:11" ht="15.75" hidden="1" customHeight="1" x14ac:dyDescent="0.2">
      <c r="B436" s="4" t="s">
        <v>2523</v>
      </c>
      <c r="C436" s="5" t="s">
        <v>299</v>
      </c>
      <c r="D436" s="5" t="s">
        <v>28</v>
      </c>
      <c r="E436" s="5" t="s">
        <v>5</v>
      </c>
      <c r="F436" s="4" t="s">
        <v>2747</v>
      </c>
      <c r="G436" s="14" t="s">
        <v>11</v>
      </c>
      <c r="H436" s="6" t="s">
        <v>11</v>
      </c>
      <c r="I436" s="5" t="s">
        <v>2</v>
      </c>
      <c r="J436" s="5" t="s">
        <v>1121</v>
      </c>
      <c r="K436" s="5" t="s">
        <v>0</v>
      </c>
    </row>
    <row r="437" spans="2:11" ht="15.75" hidden="1" customHeight="1" x14ac:dyDescent="0.2">
      <c r="B437" s="4" t="s">
        <v>2523</v>
      </c>
      <c r="C437" s="4" t="s">
        <v>137</v>
      </c>
      <c r="D437" s="4" t="s">
        <v>71</v>
      </c>
      <c r="E437" s="4" t="s">
        <v>5</v>
      </c>
      <c r="F437" s="4" t="s">
        <v>2746</v>
      </c>
      <c r="G437" s="14" t="s">
        <v>11</v>
      </c>
      <c r="H437" s="6" t="s">
        <v>11</v>
      </c>
      <c r="I437" s="5" t="s">
        <v>2</v>
      </c>
      <c r="J437" s="5" t="s">
        <v>2533</v>
      </c>
      <c r="K437" s="5" t="s">
        <v>0</v>
      </c>
    </row>
    <row r="438" spans="2:11" ht="15.75" hidden="1" customHeight="1" x14ac:dyDescent="0.2">
      <c r="B438" s="4" t="s">
        <v>2523</v>
      </c>
      <c r="C438" s="4" t="s">
        <v>228</v>
      </c>
      <c r="D438" s="4" t="s">
        <v>36</v>
      </c>
      <c r="E438" s="4" t="s">
        <v>5</v>
      </c>
      <c r="F438" s="4" t="s">
        <v>2745</v>
      </c>
      <c r="G438" s="4" t="s">
        <v>273</v>
      </c>
      <c r="H438" s="6" t="s">
        <v>272</v>
      </c>
      <c r="I438" s="5" t="s">
        <v>2</v>
      </c>
      <c r="J438" s="5" t="s">
        <v>1121</v>
      </c>
      <c r="K438" s="5" t="s">
        <v>0</v>
      </c>
    </row>
    <row r="439" spans="2:11" ht="15.75" hidden="1" customHeight="1" x14ac:dyDescent="0.2">
      <c r="B439" s="4" t="s">
        <v>2523</v>
      </c>
      <c r="C439" s="4" t="s">
        <v>228</v>
      </c>
      <c r="D439" s="4" t="s">
        <v>36</v>
      </c>
      <c r="E439" s="5" t="s">
        <v>5</v>
      </c>
      <c r="F439" s="4" t="s">
        <v>2744</v>
      </c>
      <c r="G439" s="4" t="s">
        <v>273</v>
      </c>
      <c r="H439" s="6" t="s">
        <v>272</v>
      </c>
      <c r="I439" s="5" t="s">
        <v>2</v>
      </c>
      <c r="J439" s="5" t="s">
        <v>1121</v>
      </c>
      <c r="K439" s="5" t="s">
        <v>0</v>
      </c>
    </row>
    <row r="440" spans="2:11" ht="15.75" hidden="1" customHeight="1" x14ac:dyDescent="0.2">
      <c r="B440" s="4" t="s">
        <v>2523</v>
      </c>
      <c r="C440" s="4" t="s">
        <v>228</v>
      </c>
      <c r="D440" s="4" t="s">
        <v>36</v>
      </c>
      <c r="E440" s="4" t="s">
        <v>5</v>
      </c>
      <c r="F440" s="4" t="s">
        <v>2743</v>
      </c>
      <c r="G440" s="4" t="s">
        <v>273</v>
      </c>
      <c r="H440" s="6" t="s">
        <v>272</v>
      </c>
      <c r="I440" s="5" t="s">
        <v>2</v>
      </c>
      <c r="J440" s="5" t="s">
        <v>1121</v>
      </c>
      <c r="K440" s="5" t="s">
        <v>0</v>
      </c>
    </row>
    <row r="441" spans="2:11" ht="15.75" hidden="1" customHeight="1" x14ac:dyDescent="0.2">
      <c r="B441" s="4" t="s">
        <v>2523</v>
      </c>
      <c r="C441" s="4" t="s">
        <v>228</v>
      </c>
      <c r="D441" s="4" t="s">
        <v>36</v>
      </c>
      <c r="E441" s="5" t="s">
        <v>5</v>
      </c>
      <c r="F441" s="4" t="s">
        <v>2742</v>
      </c>
      <c r="G441" s="4" t="s">
        <v>273</v>
      </c>
      <c r="H441" s="6" t="s">
        <v>272</v>
      </c>
      <c r="I441" s="5" t="s">
        <v>2</v>
      </c>
      <c r="J441" s="5" t="s">
        <v>1121</v>
      </c>
      <c r="K441" s="5" t="s">
        <v>0</v>
      </c>
    </row>
    <row r="442" spans="2:11" ht="15.75" hidden="1" customHeight="1" x14ac:dyDescent="0.2">
      <c r="B442" s="4" t="s">
        <v>2523</v>
      </c>
      <c r="C442" s="4" t="s">
        <v>228</v>
      </c>
      <c r="D442" s="4" t="s">
        <v>36</v>
      </c>
      <c r="E442" s="4" t="s">
        <v>5</v>
      </c>
      <c r="F442" s="4" t="s">
        <v>2741</v>
      </c>
      <c r="G442" s="4" t="s">
        <v>273</v>
      </c>
      <c r="H442" s="6" t="s">
        <v>272</v>
      </c>
      <c r="I442" s="5" t="s">
        <v>2</v>
      </c>
      <c r="J442" s="5" t="s">
        <v>1121</v>
      </c>
      <c r="K442" s="5" t="s">
        <v>0</v>
      </c>
    </row>
    <row r="443" spans="2:11" ht="15.75" hidden="1" customHeight="1" x14ac:dyDescent="0.2">
      <c r="B443" s="4" t="s">
        <v>2523</v>
      </c>
      <c r="C443" s="4" t="s">
        <v>228</v>
      </c>
      <c r="D443" s="4" t="s">
        <v>36</v>
      </c>
      <c r="E443" s="5" t="s">
        <v>5</v>
      </c>
      <c r="F443" s="4" t="s">
        <v>2740</v>
      </c>
      <c r="G443" s="4" t="s">
        <v>273</v>
      </c>
      <c r="H443" s="6" t="s">
        <v>272</v>
      </c>
      <c r="I443" s="5" t="s">
        <v>2</v>
      </c>
      <c r="J443" s="5" t="s">
        <v>1121</v>
      </c>
      <c r="K443" s="5" t="s">
        <v>0</v>
      </c>
    </row>
    <row r="444" spans="2:11" ht="15.75" hidden="1" customHeight="1" x14ac:dyDescent="0.2">
      <c r="B444" s="4" t="s">
        <v>2523</v>
      </c>
      <c r="C444" s="4" t="s">
        <v>228</v>
      </c>
      <c r="D444" s="4" t="s">
        <v>36</v>
      </c>
      <c r="E444" s="5" t="s">
        <v>5</v>
      </c>
      <c r="F444" s="4" t="s">
        <v>2739</v>
      </c>
      <c r="G444" s="4" t="s">
        <v>273</v>
      </c>
      <c r="H444" s="6" t="s">
        <v>272</v>
      </c>
      <c r="I444" s="5" t="s">
        <v>2</v>
      </c>
      <c r="J444" s="5" t="s">
        <v>1121</v>
      </c>
      <c r="K444" s="5" t="s">
        <v>0</v>
      </c>
    </row>
    <row r="445" spans="2:11" ht="15.75" hidden="1" customHeight="1" x14ac:dyDescent="0.2">
      <c r="B445" s="4" t="s">
        <v>2523</v>
      </c>
      <c r="C445" s="4" t="s">
        <v>228</v>
      </c>
      <c r="D445" s="4" t="s">
        <v>36</v>
      </c>
      <c r="E445" s="5" t="s">
        <v>5</v>
      </c>
      <c r="F445" s="4" t="s">
        <v>2738</v>
      </c>
      <c r="G445" s="4" t="s">
        <v>273</v>
      </c>
      <c r="H445" s="6" t="s">
        <v>272</v>
      </c>
      <c r="I445" s="5" t="s">
        <v>2</v>
      </c>
      <c r="J445" s="5" t="s">
        <v>1121</v>
      </c>
      <c r="K445" s="5" t="s">
        <v>0</v>
      </c>
    </row>
    <row r="446" spans="2:11" ht="15.75" hidden="1" customHeight="1" x14ac:dyDescent="0.2">
      <c r="B446" s="4" t="s">
        <v>2523</v>
      </c>
      <c r="C446" s="4" t="s">
        <v>228</v>
      </c>
      <c r="D446" s="4" t="s">
        <v>36</v>
      </c>
      <c r="E446" s="5" t="s">
        <v>5</v>
      </c>
      <c r="F446" s="4" t="s">
        <v>2737</v>
      </c>
      <c r="G446" s="4" t="s">
        <v>273</v>
      </c>
      <c r="H446" s="6" t="s">
        <v>272</v>
      </c>
      <c r="I446" s="5" t="s">
        <v>2</v>
      </c>
      <c r="J446" s="5" t="s">
        <v>1121</v>
      </c>
      <c r="K446" s="5" t="s">
        <v>0</v>
      </c>
    </row>
    <row r="447" spans="2:11" ht="15.75" hidden="1" customHeight="1" x14ac:dyDescent="0.2">
      <c r="B447" s="4" t="s">
        <v>2523</v>
      </c>
      <c r="C447" s="4" t="s">
        <v>228</v>
      </c>
      <c r="D447" s="4" t="s">
        <v>36</v>
      </c>
      <c r="E447" s="5" t="s">
        <v>5</v>
      </c>
      <c r="F447" s="4" t="s">
        <v>2736</v>
      </c>
      <c r="G447" s="4" t="s">
        <v>273</v>
      </c>
      <c r="H447" s="6" t="s">
        <v>272</v>
      </c>
      <c r="I447" s="5" t="s">
        <v>2</v>
      </c>
      <c r="J447" s="5" t="s">
        <v>1121</v>
      </c>
      <c r="K447" s="5" t="s">
        <v>0</v>
      </c>
    </row>
    <row r="448" spans="2:11" ht="15.75" hidden="1" customHeight="1" x14ac:dyDescent="0.2">
      <c r="B448" s="4" t="s">
        <v>2523</v>
      </c>
      <c r="C448" s="4" t="s">
        <v>89</v>
      </c>
      <c r="D448" s="4" t="s">
        <v>88</v>
      </c>
      <c r="E448" s="4" t="s">
        <v>23</v>
      </c>
      <c r="F448" s="4" t="s">
        <v>2735</v>
      </c>
      <c r="G448" s="14" t="s">
        <v>11</v>
      </c>
      <c r="H448" s="6" t="s">
        <v>11</v>
      </c>
      <c r="I448" s="5" t="s">
        <v>2</v>
      </c>
      <c r="J448" s="5" t="s">
        <v>2533</v>
      </c>
      <c r="K448" s="5" t="s">
        <v>1157</v>
      </c>
    </row>
    <row r="449" spans="2:11" ht="15.75" hidden="1" customHeight="1" x14ac:dyDescent="0.2">
      <c r="B449" s="4" t="s">
        <v>2523</v>
      </c>
      <c r="C449" s="4" t="s">
        <v>228</v>
      </c>
      <c r="D449" s="4" t="s">
        <v>36</v>
      </c>
      <c r="E449" s="4" t="s">
        <v>5</v>
      </c>
      <c r="F449" s="4" t="s">
        <v>2734</v>
      </c>
      <c r="G449" s="4" t="s">
        <v>273</v>
      </c>
      <c r="H449" s="6" t="s">
        <v>272</v>
      </c>
      <c r="I449" s="5" t="s">
        <v>2</v>
      </c>
      <c r="J449" s="5" t="s">
        <v>1121</v>
      </c>
      <c r="K449" s="5" t="s">
        <v>0</v>
      </c>
    </row>
    <row r="450" spans="2:11" ht="15.75" hidden="1" customHeight="1" x14ac:dyDescent="0.2">
      <c r="B450" s="4" t="s">
        <v>2523</v>
      </c>
      <c r="C450" s="4" t="s">
        <v>111</v>
      </c>
      <c r="D450" s="4" t="s">
        <v>24</v>
      </c>
      <c r="E450" s="4" t="s">
        <v>5</v>
      </c>
      <c r="F450" s="4" t="s">
        <v>2733</v>
      </c>
      <c r="G450" s="14" t="s">
        <v>11</v>
      </c>
      <c r="H450" s="6" t="s">
        <v>11</v>
      </c>
      <c r="I450" s="5" t="s">
        <v>2</v>
      </c>
      <c r="J450" s="5" t="s">
        <v>2533</v>
      </c>
      <c r="K450" s="5" t="s">
        <v>0</v>
      </c>
    </row>
    <row r="451" spans="2:11" ht="15.75" hidden="1" customHeight="1" x14ac:dyDescent="0.2">
      <c r="B451" s="4" t="s">
        <v>2523</v>
      </c>
      <c r="C451" s="4" t="s">
        <v>271</v>
      </c>
      <c r="D451" s="5" t="s">
        <v>94</v>
      </c>
      <c r="E451" s="5" t="s">
        <v>5</v>
      </c>
      <c r="F451" s="4" t="s">
        <v>2732</v>
      </c>
      <c r="G451" s="14" t="s">
        <v>11</v>
      </c>
      <c r="H451" s="6" t="s">
        <v>11</v>
      </c>
      <c r="I451" s="5" t="s">
        <v>2</v>
      </c>
      <c r="J451" s="5" t="s">
        <v>1121</v>
      </c>
      <c r="K451" s="5" t="s">
        <v>0</v>
      </c>
    </row>
    <row r="452" spans="2:11" ht="15.75" hidden="1" customHeight="1" x14ac:dyDescent="0.2">
      <c r="B452" s="4" t="s">
        <v>2523</v>
      </c>
      <c r="C452" s="4" t="s">
        <v>111</v>
      </c>
      <c r="D452" s="4" t="s">
        <v>24</v>
      </c>
      <c r="E452" s="4" t="s">
        <v>5</v>
      </c>
      <c r="F452" s="4" t="s">
        <v>2731</v>
      </c>
      <c r="G452" s="14" t="s">
        <v>11</v>
      </c>
      <c r="H452" s="6" t="s">
        <v>11</v>
      </c>
      <c r="I452" s="4" t="s">
        <v>2</v>
      </c>
      <c r="J452" s="4" t="s">
        <v>2730</v>
      </c>
      <c r="K452" s="4" t="s">
        <v>0</v>
      </c>
    </row>
    <row r="453" spans="2:11" ht="15.75" hidden="1" customHeight="1" x14ac:dyDescent="0.2">
      <c r="B453" s="4" t="s">
        <v>2523</v>
      </c>
      <c r="C453" s="4" t="s">
        <v>111</v>
      </c>
      <c r="D453" s="4" t="s">
        <v>24</v>
      </c>
      <c r="E453" s="4" t="s">
        <v>5</v>
      </c>
      <c r="F453" s="4" t="s">
        <v>2729</v>
      </c>
      <c r="G453" s="14" t="s">
        <v>11</v>
      </c>
      <c r="H453" s="6" t="s">
        <v>11</v>
      </c>
      <c r="I453" s="4" t="s">
        <v>2</v>
      </c>
      <c r="J453" s="4" t="s">
        <v>2728</v>
      </c>
      <c r="K453" s="4" t="s">
        <v>0</v>
      </c>
    </row>
    <row r="454" spans="2:11" ht="15.75" hidden="1" customHeight="1" x14ac:dyDescent="0.2">
      <c r="B454" s="4" t="s">
        <v>2523</v>
      </c>
      <c r="C454" s="5" t="s">
        <v>89</v>
      </c>
      <c r="D454" s="5" t="s">
        <v>88</v>
      </c>
      <c r="E454" s="5" t="s">
        <v>5</v>
      </c>
      <c r="F454" s="4" t="s">
        <v>2727</v>
      </c>
      <c r="G454" s="14" t="s">
        <v>11</v>
      </c>
      <c r="H454" s="6" t="s">
        <v>11</v>
      </c>
      <c r="I454" s="5" t="s">
        <v>2</v>
      </c>
      <c r="J454" s="5" t="s">
        <v>1121</v>
      </c>
      <c r="K454" s="5" t="s">
        <v>0</v>
      </c>
    </row>
    <row r="455" spans="2:11" ht="15.75" hidden="1" customHeight="1" x14ac:dyDescent="0.2">
      <c r="B455" s="4" t="s">
        <v>2523</v>
      </c>
      <c r="C455" s="4" t="s">
        <v>139</v>
      </c>
      <c r="D455" s="4" t="s">
        <v>18</v>
      </c>
      <c r="E455" s="4" t="s">
        <v>5</v>
      </c>
      <c r="F455" s="4" t="s">
        <v>2726</v>
      </c>
      <c r="G455" s="14" t="s">
        <v>348</v>
      </c>
      <c r="H455" s="6" t="s">
        <v>11</v>
      </c>
      <c r="I455" s="5" t="s">
        <v>2</v>
      </c>
      <c r="J455" s="5" t="s">
        <v>1121</v>
      </c>
      <c r="K455" s="5" t="s">
        <v>0</v>
      </c>
    </row>
    <row r="456" spans="2:11" ht="15.75" hidden="1" customHeight="1" x14ac:dyDescent="0.2">
      <c r="B456" s="4" t="s">
        <v>2523</v>
      </c>
      <c r="C456" s="5" t="s">
        <v>299</v>
      </c>
      <c r="D456" s="5" t="s">
        <v>28</v>
      </c>
      <c r="E456" s="5" t="s">
        <v>5</v>
      </c>
      <c r="F456" s="4" t="s">
        <v>2725</v>
      </c>
      <c r="G456" s="14" t="s">
        <v>11</v>
      </c>
      <c r="H456" s="6" t="s">
        <v>11</v>
      </c>
      <c r="I456" s="5" t="s">
        <v>2</v>
      </c>
      <c r="J456" s="5" t="s">
        <v>1121</v>
      </c>
      <c r="K456" s="5" t="s">
        <v>0</v>
      </c>
    </row>
    <row r="457" spans="2:11" ht="15.75" hidden="1" customHeight="1" x14ac:dyDescent="0.2">
      <c r="B457" s="4" t="s">
        <v>2523</v>
      </c>
      <c r="C457" s="4" t="s">
        <v>48</v>
      </c>
      <c r="D457" s="4" t="s">
        <v>47</v>
      </c>
      <c r="E457" s="4" t="s">
        <v>5</v>
      </c>
      <c r="F457" s="4" t="s">
        <v>2724</v>
      </c>
      <c r="G457" s="14" t="s">
        <v>11</v>
      </c>
      <c r="H457" s="6" t="s">
        <v>11</v>
      </c>
      <c r="I457" s="5" t="s">
        <v>2</v>
      </c>
      <c r="J457" s="5" t="s">
        <v>2580</v>
      </c>
      <c r="K457" s="5" t="s">
        <v>0</v>
      </c>
    </row>
    <row r="458" spans="2:11" ht="15.75" hidden="1" customHeight="1" x14ac:dyDescent="0.2">
      <c r="B458" s="4" t="s">
        <v>2523</v>
      </c>
      <c r="C458" s="5" t="s">
        <v>408</v>
      </c>
      <c r="D458" s="5" t="s">
        <v>28</v>
      </c>
      <c r="E458" s="5" t="s">
        <v>5</v>
      </c>
      <c r="F458" s="4" t="s">
        <v>2723</v>
      </c>
      <c r="G458" s="14" t="s">
        <v>11</v>
      </c>
      <c r="H458" s="6" t="s">
        <v>11</v>
      </c>
      <c r="I458" s="5" t="s">
        <v>2</v>
      </c>
      <c r="J458" s="5" t="s">
        <v>1121</v>
      </c>
      <c r="K458" s="5" t="s">
        <v>0</v>
      </c>
    </row>
    <row r="459" spans="2:11" ht="15.75" hidden="1" customHeight="1" x14ac:dyDescent="0.2">
      <c r="B459" s="4" t="s">
        <v>2523</v>
      </c>
      <c r="C459" s="4" t="s">
        <v>181</v>
      </c>
      <c r="D459" s="5" t="s">
        <v>42</v>
      </c>
      <c r="E459" s="5" t="s">
        <v>5</v>
      </c>
      <c r="F459" s="4" t="s">
        <v>2722</v>
      </c>
      <c r="G459" s="14" t="s">
        <v>3</v>
      </c>
      <c r="H459" s="6" t="s">
        <v>3</v>
      </c>
      <c r="I459" s="5" t="s">
        <v>2</v>
      </c>
      <c r="J459" s="5" t="s">
        <v>1121</v>
      </c>
      <c r="K459" s="5" t="s">
        <v>0</v>
      </c>
    </row>
    <row r="460" spans="2:11" ht="15.75" hidden="1" customHeight="1" x14ac:dyDescent="0.2">
      <c r="B460" s="4" t="s">
        <v>2523</v>
      </c>
      <c r="C460" s="5" t="s">
        <v>299</v>
      </c>
      <c r="D460" s="5" t="s">
        <v>28</v>
      </c>
      <c r="E460" s="5" t="s">
        <v>5</v>
      </c>
      <c r="F460" s="4" t="s">
        <v>2721</v>
      </c>
      <c r="G460" s="14" t="s">
        <v>11</v>
      </c>
      <c r="H460" s="6" t="s">
        <v>11</v>
      </c>
      <c r="I460" s="5" t="s">
        <v>2</v>
      </c>
      <c r="J460" s="5" t="s">
        <v>1121</v>
      </c>
      <c r="K460" s="5" t="s">
        <v>0</v>
      </c>
    </row>
    <row r="461" spans="2:11" ht="15.75" hidden="1" customHeight="1" x14ac:dyDescent="0.2">
      <c r="B461" s="4" t="s">
        <v>2523</v>
      </c>
      <c r="C461" s="4" t="s">
        <v>412</v>
      </c>
      <c r="D461" s="4" t="s">
        <v>236</v>
      </c>
      <c r="E461" s="4" t="s">
        <v>5</v>
      </c>
      <c r="F461" s="4" t="s">
        <v>2720</v>
      </c>
      <c r="G461" s="14" t="s">
        <v>348</v>
      </c>
      <c r="H461" s="6" t="s">
        <v>11</v>
      </c>
      <c r="I461" s="5" t="s">
        <v>2</v>
      </c>
      <c r="J461" s="5" t="s">
        <v>2719</v>
      </c>
      <c r="K461" s="5" t="s">
        <v>0</v>
      </c>
    </row>
    <row r="462" spans="2:11" ht="15.75" hidden="1" customHeight="1" x14ac:dyDescent="0.2">
      <c r="B462" s="4" t="s">
        <v>2523</v>
      </c>
      <c r="C462" s="4" t="s">
        <v>228</v>
      </c>
      <c r="D462" s="4" t="s">
        <v>36</v>
      </c>
      <c r="E462" s="5" t="s">
        <v>5</v>
      </c>
      <c r="F462" s="4" t="s">
        <v>2718</v>
      </c>
      <c r="G462" s="4" t="s">
        <v>273</v>
      </c>
      <c r="H462" s="6" t="s">
        <v>272</v>
      </c>
      <c r="I462" s="5" t="s">
        <v>2</v>
      </c>
      <c r="J462" s="5" t="s">
        <v>1121</v>
      </c>
      <c r="K462" s="5" t="s">
        <v>0</v>
      </c>
    </row>
    <row r="463" spans="2:11" ht="15.75" hidden="1" customHeight="1" x14ac:dyDescent="0.2">
      <c r="B463" s="4" t="s">
        <v>2523</v>
      </c>
      <c r="C463" s="4" t="s">
        <v>228</v>
      </c>
      <c r="D463" s="4" t="s">
        <v>36</v>
      </c>
      <c r="E463" s="5" t="s">
        <v>5</v>
      </c>
      <c r="F463" s="4" t="s">
        <v>2717</v>
      </c>
      <c r="G463" s="4" t="s">
        <v>273</v>
      </c>
      <c r="H463" s="6" t="s">
        <v>272</v>
      </c>
      <c r="I463" s="5" t="s">
        <v>2</v>
      </c>
      <c r="J463" s="5" t="s">
        <v>1121</v>
      </c>
      <c r="K463" s="5" t="s">
        <v>0</v>
      </c>
    </row>
    <row r="464" spans="2:11" ht="15.75" hidden="1" customHeight="1" x14ac:dyDescent="0.2">
      <c r="B464" s="4" t="s">
        <v>2523</v>
      </c>
      <c r="C464" s="4" t="s">
        <v>228</v>
      </c>
      <c r="D464" s="4" t="s">
        <v>36</v>
      </c>
      <c r="E464" s="5" t="s">
        <v>5</v>
      </c>
      <c r="F464" s="4" t="s">
        <v>2716</v>
      </c>
      <c r="G464" s="4" t="s">
        <v>273</v>
      </c>
      <c r="H464" s="6" t="s">
        <v>272</v>
      </c>
      <c r="I464" s="5" t="s">
        <v>2</v>
      </c>
      <c r="J464" s="5" t="s">
        <v>1121</v>
      </c>
      <c r="K464" s="5" t="s">
        <v>0</v>
      </c>
    </row>
    <row r="465" spans="2:11" ht="15.75" hidden="1" customHeight="1" x14ac:dyDescent="0.2">
      <c r="B465" s="4" t="s">
        <v>2523</v>
      </c>
      <c r="C465" s="4" t="s">
        <v>228</v>
      </c>
      <c r="D465" s="4" t="s">
        <v>36</v>
      </c>
      <c r="E465" s="5" t="s">
        <v>5</v>
      </c>
      <c r="F465" s="4" t="s">
        <v>2715</v>
      </c>
      <c r="G465" s="4" t="s">
        <v>273</v>
      </c>
      <c r="H465" s="6" t="s">
        <v>272</v>
      </c>
      <c r="I465" s="5" t="s">
        <v>2</v>
      </c>
      <c r="J465" s="5" t="s">
        <v>1121</v>
      </c>
      <c r="K465" s="5" t="s">
        <v>0</v>
      </c>
    </row>
    <row r="466" spans="2:11" ht="15.75" hidden="1" customHeight="1" x14ac:dyDescent="0.2">
      <c r="B466" s="4" t="s">
        <v>2523</v>
      </c>
      <c r="C466" s="4" t="s">
        <v>228</v>
      </c>
      <c r="D466" s="4" t="s">
        <v>36</v>
      </c>
      <c r="E466" s="5" t="s">
        <v>5</v>
      </c>
      <c r="F466" s="4" t="s">
        <v>2714</v>
      </c>
      <c r="G466" s="4" t="s">
        <v>273</v>
      </c>
      <c r="H466" s="6" t="s">
        <v>272</v>
      </c>
      <c r="I466" s="5" t="s">
        <v>2</v>
      </c>
      <c r="J466" s="5" t="s">
        <v>1121</v>
      </c>
      <c r="K466" s="5" t="s">
        <v>0</v>
      </c>
    </row>
    <row r="467" spans="2:11" ht="15.75" hidden="1" customHeight="1" x14ac:dyDescent="0.2">
      <c r="B467" s="4" t="s">
        <v>2523</v>
      </c>
      <c r="C467" s="4" t="s">
        <v>228</v>
      </c>
      <c r="D467" s="4" t="s">
        <v>36</v>
      </c>
      <c r="E467" s="5" t="s">
        <v>5</v>
      </c>
      <c r="F467" s="4" t="s">
        <v>2713</v>
      </c>
      <c r="G467" s="4" t="s">
        <v>273</v>
      </c>
      <c r="H467" s="6" t="s">
        <v>272</v>
      </c>
      <c r="I467" s="5" t="s">
        <v>2</v>
      </c>
      <c r="J467" s="5" t="s">
        <v>1121</v>
      </c>
      <c r="K467" s="5" t="s">
        <v>0</v>
      </c>
    </row>
    <row r="468" spans="2:11" ht="15.75" hidden="1" customHeight="1" x14ac:dyDescent="0.2">
      <c r="B468" s="4" t="s">
        <v>2523</v>
      </c>
      <c r="C468" s="5" t="s">
        <v>111</v>
      </c>
      <c r="D468" s="5" t="s">
        <v>24</v>
      </c>
      <c r="E468" s="5" t="s">
        <v>5</v>
      </c>
      <c r="F468" s="4" t="s">
        <v>2712</v>
      </c>
      <c r="G468" s="14" t="s">
        <v>11</v>
      </c>
      <c r="H468" s="6" t="s">
        <v>11</v>
      </c>
      <c r="I468" s="5" t="s">
        <v>2</v>
      </c>
      <c r="J468" s="5" t="s">
        <v>1121</v>
      </c>
      <c r="K468" s="5" t="s">
        <v>0</v>
      </c>
    </row>
    <row r="469" spans="2:11" ht="15.75" hidden="1" customHeight="1" x14ac:dyDescent="0.2">
      <c r="B469" s="4" t="s">
        <v>2523</v>
      </c>
      <c r="C469" s="4" t="s">
        <v>228</v>
      </c>
      <c r="D469" s="4" t="s">
        <v>36</v>
      </c>
      <c r="E469" s="5" t="s">
        <v>5</v>
      </c>
      <c r="F469" s="4" t="s">
        <v>2711</v>
      </c>
      <c r="G469" s="4" t="s">
        <v>273</v>
      </c>
      <c r="H469" s="6" t="s">
        <v>272</v>
      </c>
      <c r="I469" s="5" t="s">
        <v>2</v>
      </c>
      <c r="J469" s="5" t="s">
        <v>1121</v>
      </c>
      <c r="K469" s="5" t="s">
        <v>0</v>
      </c>
    </row>
    <row r="470" spans="2:11" ht="15.75" hidden="1" customHeight="1" x14ac:dyDescent="0.2">
      <c r="B470" s="4" t="s">
        <v>2523</v>
      </c>
      <c r="C470" s="5" t="s">
        <v>150</v>
      </c>
      <c r="D470" s="5" t="s">
        <v>150</v>
      </c>
      <c r="E470" s="5" t="s">
        <v>5</v>
      </c>
      <c r="F470" s="4" t="s">
        <v>2710</v>
      </c>
      <c r="G470" s="14" t="s">
        <v>11</v>
      </c>
      <c r="H470" s="6" t="s">
        <v>11</v>
      </c>
      <c r="I470" s="5" t="s">
        <v>2</v>
      </c>
      <c r="J470" s="5" t="s">
        <v>1121</v>
      </c>
      <c r="K470" s="5" t="s">
        <v>0</v>
      </c>
    </row>
    <row r="471" spans="2:11" ht="15.75" hidden="1" customHeight="1" x14ac:dyDescent="0.2">
      <c r="B471" s="4" t="s">
        <v>2523</v>
      </c>
      <c r="C471" s="4" t="s">
        <v>228</v>
      </c>
      <c r="D471" s="4" t="s">
        <v>36</v>
      </c>
      <c r="E471" s="5" t="s">
        <v>5</v>
      </c>
      <c r="F471" s="4" t="s">
        <v>2709</v>
      </c>
      <c r="G471" s="4" t="s">
        <v>273</v>
      </c>
      <c r="H471" s="6" t="s">
        <v>272</v>
      </c>
      <c r="I471" s="5" t="s">
        <v>2</v>
      </c>
      <c r="J471" s="5" t="s">
        <v>1121</v>
      </c>
      <c r="K471" s="5" t="s">
        <v>0</v>
      </c>
    </row>
    <row r="472" spans="2:11" ht="15.75" hidden="1" customHeight="1" x14ac:dyDescent="0.2">
      <c r="B472" s="4" t="s">
        <v>2523</v>
      </c>
      <c r="C472" s="4" t="s">
        <v>228</v>
      </c>
      <c r="D472" s="4" t="s">
        <v>36</v>
      </c>
      <c r="E472" s="4" t="s">
        <v>5</v>
      </c>
      <c r="F472" s="4" t="s">
        <v>2708</v>
      </c>
      <c r="G472" s="4" t="s">
        <v>273</v>
      </c>
      <c r="H472" s="6" t="s">
        <v>272</v>
      </c>
      <c r="I472" s="5" t="s">
        <v>2</v>
      </c>
      <c r="J472" s="5" t="s">
        <v>1121</v>
      </c>
      <c r="K472" s="5" t="s">
        <v>0</v>
      </c>
    </row>
    <row r="473" spans="2:11" ht="15.75" hidden="1" customHeight="1" x14ac:dyDescent="0.2">
      <c r="B473" s="4" t="s">
        <v>2523</v>
      </c>
      <c r="C473" s="5" t="s">
        <v>48</v>
      </c>
      <c r="D473" s="5" t="s">
        <v>47</v>
      </c>
      <c r="E473" s="5" t="s">
        <v>5</v>
      </c>
      <c r="F473" s="4" t="s">
        <v>2707</v>
      </c>
      <c r="G473" s="14" t="s">
        <v>11</v>
      </c>
      <c r="H473" s="6" t="s">
        <v>11</v>
      </c>
      <c r="I473" s="5" t="s">
        <v>2</v>
      </c>
      <c r="J473" s="5" t="s">
        <v>1121</v>
      </c>
      <c r="K473" s="5" t="s">
        <v>0</v>
      </c>
    </row>
    <row r="474" spans="2:11" ht="15.75" hidden="1" customHeight="1" x14ac:dyDescent="0.2">
      <c r="B474" s="4" t="s">
        <v>2523</v>
      </c>
      <c r="C474" s="4" t="s">
        <v>228</v>
      </c>
      <c r="D474" s="4" t="s">
        <v>36</v>
      </c>
      <c r="E474" s="5" t="s">
        <v>5</v>
      </c>
      <c r="F474" s="4" t="s">
        <v>2706</v>
      </c>
      <c r="G474" s="4" t="s">
        <v>273</v>
      </c>
      <c r="H474" s="6" t="s">
        <v>272</v>
      </c>
      <c r="I474" s="5" t="s">
        <v>2</v>
      </c>
      <c r="J474" s="5" t="s">
        <v>1121</v>
      </c>
      <c r="K474" s="5" t="s">
        <v>0</v>
      </c>
    </row>
    <row r="475" spans="2:11" ht="15.75" hidden="1" customHeight="1" x14ac:dyDescent="0.2">
      <c r="B475" s="4" t="s">
        <v>2523</v>
      </c>
      <c r="C475" s="4" t="s">
        <v>228</v>
      </c>
      <c r="D475" s="4" t="s">
        <v>36</v>
      </c>
      <c r="E475" s="5" t="s">
        <v>5</v>
      </c>
      <c r="F475" s="4" t="s">
        <v>2705</v>
      </c>
      <c r="G475" s="4" t="s">
        <v>273</v>
      </c>
      <c r="H475" s="6" t="s">
        <v>272</v>
      </c>
      <c r="I475" s="5" t="s">
        <v>2</v>
      </c>
      <c r="J475" s="5" t="s">
        <v>1121</v>
      </c>
      <c r="K475" s="5" t="s">
        <v>0</v>
      </c>
    </row>
    <row r="476" spans="2:11" ht="15.75" hidden="1" customHeight="1" x14ac:dyDescent="0.2">
      <c r="B476" s="4" t="s">
        <v>2523</v>
      </c>
      <c r="C476" s="4" t="s">
        <v>228</v>
      </c>
      <c r="D476" s="4" t="s">
        <v>36</v>
      </c>
      <c r="E476" s="5" t="s">
        <v>5</v>
      </c>
      <c r="F476" s="4" t="s">
        <v>2704</v>
      </c>
      <c r="G476" s="4" t="s">
        <v>273</v>
      </c>
      <c r="H476" s="6" t="s">
        <v>272</v>
      </c>
      <c r="I476" s="5" t="s">
        <v>2</v>
      </c>
      <c r="J476" s="5" t="s">
        <v>1121</v>
      </c>
      <c r="K476" s="5" t="s">
        <v>0</v>
      </c>
    </row>
    <row r="477" spans="2:11" ht="15.75" hidden="1" customHeight="1" x14ac:dyDescent="0.2">
      <c r="B477" s="4" t="s">
        <v>2523</v>
      </c>
      <c r="C477" s="5" t="s">
        <v>48</v>
      </c>
      <c r="D477" s="5" t="s">
        <v>47</v>
      </c>
      <c r="E477" s="5" t="s">
        <v>5</v>
      </c>
      <c r="F477" s="4" t="s">
        <v>2703</v>
      </c>
      <c r="G477" s="14" t="s">
        <v>11</v>
      </c>
      <c r="H477" s="6" t="s">
        <v>11</v>
      </c>
      <c r="I477" s="5" t="s">
        <v>2</v>
      </c>
      <c r="J477" s="5" t="s">
        <v>1121</v>
      </c>
      <c r="K477" s="5" t="s">
        <v>0</v>
      </c>
    </row>
    <row r="478" spans="2:11" ht="15.75" hidden="1" customHeight="1" x14ac:dyDescent="0.2">
      <c r="B478" s="4" t="s">
        <v>2523</v>
      </c>
      <c r="C478" s="4" t="s">
        <v>228</v>
      </c>
      <c r="D478" s="4" t="s">
        <v>36</v>
      </c>
      <c r="E478" s="5" t="s">
        <v>5</v>
      </c>
      <c r="F478" s="4" t="s">
        <v>2702</v>
      </c>
      <c r="G478" s="4" t="s">
        <v>273</v>
      </c>
      <c r="H478" s="6" t="s">
        <v>272</v>
      </c>
      <c r="I478" s="5" t="s">
        <v>2</v>
      </c>
      <c r="J478" s="5" t="s">
        <v>1121</v>
      </c>
      <c r="K478" s="5" t="s">
        <v>0</v>
      </c>
    </row>
    <row r="479" spans="2:11" ht="15.75" hidden="1" customHeight="1" x14ac:dyDescent="0.2">
      <c r="B479" s="4" t="s">
        <v>2523</v>
      </c>
      <c r="C479" s="5" t="s">
        <v>150</v>
      </c>
      <c r="D479" s="5" t="s">
        <v>150</v>
      </c>
      <c r="E479" s="5" t="s">
        <v>5</v>
      </c>
      <c r="F479" s="4" t="s">
        <v>2701</v>
      </c>
      <c r="G479" s="14" t="s">
        <v>11</v>
      </c>
      <c r="H479" s="6" t="s">
        <v>11</v>
      </c>
      <c r="I479" s="5" t="s">
        <v>2</v>
      </c>
      <c r="J479" s="5" t="s">
        <v>1121</v>
      </c>
      <c r="K479" s="5" t="s">
        <v>0</v>
      </c>
    </row>
    <row r="480" spans="2:11" ht="15.75" hidden="1" customHeight="1" x14ac:dyDescent="0.2">
      <c r="B480" s="4" t="s">
        <v>2523</v>
      </c>
      <c r="C480" s="4" t="s">
        <v>228</v>
      </c>
      <c r="D480" s="4" t="s">
        <v>36</v>
      </c>
      <c r="E480" s="4" t="s">
        <v>159</v>
      </c>
      <c r="F480" s="4" t="s">
        <v>2700</v>
      </c>
      <c r="G480" s="4" t="s">
        <v>273</v>
      </c>
      <c r="H480" s="6" t="s">
        <v>272</v>
      </c>
      <c r="I480" s="5" t="s">
        <v>2</v>
      </c>
      <c r="J480" s="5" t="s">
        <v>1121</v>
      </c>
      <c r="K480" s="5" t="s">
        <v>0</v>
      </c>
    </row>
    <row r="481" spans="2:11" ht="15.75" hidden="1" customHeight="1" x14ac:dyDescent="0.2">
      <c r="B481" s="4" t="s">
        <v>2523</v>
      </c>
      <c r="C481" s="4" t="s">
        <v>228</v>
      </c>
      <c r="D481" s="4" t="s">
        <v>36</v>
      </c>
      <c r="E481" s="5" t="s">
        <v>5</v>
      </c>
      <c r="F481" s="4" t="s">
        <v>2699</v>
      </c>
      <c r="G481" s="4" t="s">
        <v>273</v>
      </c>
      <c r="H481" s="6" t="s">
        <v>272</v>
      </c>
      <c r="I481" s="5" t="s">
        <v>2</v>
      </c>
      <c r="J481" s="5" t="s">
        <v>1121</v>
      </c>
      <c r="K481" s="5" t="s">
        <v>0</v>
      </c>
    </row>
    <row r="482" spans="2:11" ht="15.75" hidden="1" customHeight="1" x14ac:dyDescent="0.2">
      <c r="B482" s="4" t="s">
        <v>2523</v>
      </c>
      <c r="C482" s="4" t="s">
        <v>228</v>
      </c>
      <c r="D482" s="4" t="s">
        <v>36</v>
      </c>
      <c r="E482" s="4" t="s">
        <v>5</v>
      </c>
      <c r="F482" s="4" t="s">
        <v>2698</v>
      </c>
      <c r="G482" s="14" t="s">
        <v>348</v>
      </c>
      <c r="H482" s="6" t="s">
        <v>11</v>
      </c>
      <c r="I482" s="5" t="s">
        <v>2</v>
      </c>
      <c r="J482" s="5" t="s">
        <v>1121</v>
      </c>
      <c r="K482" s="5" t="s">
        <v>0</v>
      </c>
    </row>
    <row r="483" spans="2:11" ht="15.75" hidden="1" customHeight="1" x14ac:dyDescent="0.2">
      <c r="B483" s="4" t="s">
        <v>2523</v>
      </c>
      <c r="C483" s="4" t="s">
        <v>228</v>
      </c>
      <c r="D483" s="4" t="s">
        <v>36</v>
      </c>
      <c r="E483" s="4" t="s">
        <v>5</v>
      </c>
      <c r="F483" s="4" t="s">
        <v>2697</v>
      </c>
      <c r="G483" s="14" t="s">
        <v>348</v>
      </c>
      <c r="H483" s="6" t="s">
        <v>11</v>
      </c>
      <c r="I483" s="5" t="s">
        <v>2</v>
      </c>
      <c r="J483" s="5" t="s">
        <v>1121</v>
      </c>
      <c r="K483" s="5" t="s">
        <v>75</v>
      </c>
    </row>
    <row r="484" spans="2:11" ht="15.75" hidden="1" customHeight="1" x14ac:dyDescent="0.2">
      <c r="B484" s="4" t="s">
        <v>2523</v>
      </c>
      <c r="C484" s="4" t="s">
        <v>228</v>
      </c>
      <c r="D484" s="4" t="s">
        <v>36</v>
      </c>
      <c r="E484" s="5" t="s">
        <v>5</v>
      </c>
      <c r="F484" s="4" t="s">
        <v>2696</v>
      </c>
      <c r="G484" s="4" t="s">
        <v>273</v>
      </c>
      <c r="H484" s="6" t="s">
        <v>272</v>
      </c>
      <c r="I484" s="5" t="s">
        <v>2</v>
      </c>
      <c r="J484" s="5" t="s">
        <v>1121</v>
      </c>
      <c r="K484" s="5" t="s">
        <v>0</v>
      </c>
    </row>
    <row r="485" spans="2:11" ht="15.75" hidden="1" customHeight="1" x14ac:dyDescent="0.2">
      <c r="B485" s="4" t="s">
        <v>2523</v>
      </c>
      <c r="C485" s="4" t="s">
        <v>228</v>
      </c>
      <c r="D485" s="4" t="s">
        <v>36</v>
      </c>
      <c r="E485" s="4" t="s">
        <v>5</v>
      </c>
      <c r="F485" s="4" t="s">
        <v>2695</v>
      </c>
      <c r="G485" s="4" t="s">
        <v>273</v>
      </c>
      <c r="H485" s="6" t="s">
        <v>272</v>
      </c>
      <c r="I485" s="5" t="s">
        <v>2</v>
      </c>
      <c r="J485" s="5" t="s">
        <v>1121</v>
      </c>
      <c r="K485" s="5" t="s">
        <v>0</v>
      </c>
    </row>
    <row r="486" spans="2:11" ht="15.75" hidden="1" customHeight="1" x14ac:dyDescent="0.2">
      <c r="B486" s="4" t="s">
        <v>2523</v>
      </c>
      <c r="C486" s="4" t="s">
        <v>139</v>
      </c>
      <c r="D486" s="4" t="s">
        <v>18</v>
      </c>
      <c r="E486" s="4" t="s">
        <v>5</v>
      </c>
      <c r="F486" s="4" t="s">
        <v>531</v>
      </c>
      <c r="G486" s="20" t="s">
        <v>348</v>
      </c>
      <c r="H486" s="6" t="s">
        <v>11</v>
      </c>
      <c r="I486" s="5" t="s">
        <v>2</v>
      </c>
      <c r="J486" s="5" t="s">
        <v>530</v>
      </c>
      <c r="K486" s="5" t="s">
        <v>529</v>
      </c>
    </row>
    <row r="487" spans="2:11" ht="15.75" hidden="1" customHeight="1" x14ac:dyDescent="0.2">
      <c r="B487" s="4" t="s">
        <v>2523</v>
      </c>
      <c r="C487" s="4" t="s">
        <v>228</v>
      </c>
      <c r="D487" s="4" t="s">
        <v>36</v>
      </c>
      <c r="E487" s="4" t="s">
        <v>5</v>
      </c>
      <c r="F487" s="4" t="s">
        <v>2694</v>
      </c>
      <c r="G487" s="4" t="s">
        <v>273</v>
      </c>
      <c r="H487" s="6" t="s">
        <v>272</v>
      </c>
      <c r="I487" s="5" t="s">
        <v>2</v>
      </c>
      <c r="J487" s="5" t="s">
        <v>1121</v>
      </c>
      <c r="K487" s="5" t="s">
        <v>0</v>
      </c>
    </row>
    <row r="488" spans="2:11" ht="15.75" hidden="1" customHeight="1" x14ac:dyDescent="0.2">
      <c r="B488" s="4" t="s">
        <v>2523</v>
      </c>
      <c r="C488" s="4" t="s">
        <v>228</v>
      </c>
      <c r="D488" s="4" t="s">
        <v>36</v>
      </c>
      <c r="E488" s="4" t="s">
        <v>5</v>
      </c>
      <c r="F488" s="4" t="s">
        <v>2693</v>
      </c>
      <c r="G488" s="4" t="s">
        <v>273</v>
      </c>
      <c r="H488" s="6" t="s">
        <v>272</v>
      </c>
      <c r="I488" s="5" t="s">
        <v>2</v>
      </c>
      <c r="J488" s="5" t="s">
        <v>1121</v>
      </c>
      <c r="K488" s="5" t="s">
        <v>0</v>
      </c>
    </row>
    <row r="489" spans="2:11" ht="15.75" hidden="1" customHeight="1" x14ac:dyDescent="0.2">
      <c r="B489" s="4" t="s">
        <v>2523</v>
      </c>
      <c r="C489" s="5" t="s">
        <v>89</v>
      </c>
      <c r="D489" s="5" t="s">
        <v>47</v>
      </c>
      <c r="E489" s="5" t="s">
        <v>5</v>
      </c>
      <c r="F489" s="4" t="s">
        <v>2692</v>
      </c>
      <c r="G489" s="14" t="s">
        <v>11</v>
      </c>
      <c r="H489" s="6" t="s">
        <v>11</v>
      </c>
      <c r="I489" s="5" t="s">
        <v>2</v>
      </c>
      <c r="J489" s="5" t="s">
        <v>1121</v>
      </c>
      <c r="K489" s="5" t="s">
        <v>0</v>
      </c>
    </row>
    <row r="490" spans="2:11" ht="15.75" hidden="1" customHeight="1" x14ac:dyDescent="0.2">
      <c r="B490" s="4" t="s">
        <v>2523</v>
      </c>
      <c r="C490" s="5" t="s">
        <v>150</v>
      </c>
      <c r="D490" s="5" t="s">
        <v>150</v>
      </c>
      <c r="E490" s="5" t="s">
        <v>5</v>
      </c>
      <c r="F490" s="4" t="s">
        <v>2691</v>
      </c>
      <c r="G490" s="14" t="s">
        <v>11</v>
      </c>
      <c r="H490" s="6" t="s">
        <v>11</v>
      </c>
      <c r="I490" s="5" t="s">
        <v>2</v>
      </c>
      <c r="J490" s="5" t="s">
        <v>1121</v>
      </c>
      <c r="K490" s="5" t="s">
        <v>0</v>
      </c>
    </row>
    <row r="491" spans="2:11" ht="15.75" hidden="1" customHeight="1" x14ac:dyDescent="0.2">
      <c r="B491" s="4" t="s">
        <v>2523</v>
      </c>
      <c r="C491" s="4" t="s">
        <v>228</v>
      </c>
      <c r="D491" s="4" t="s">
        <v>36</v>
      </c>
      <c r="E491" s="4" t="s">
        <v>5</v>
      </c>
      <c r="F491" s="4" t="s">
        <v>2690</v>
      </c>
      <c r="G491" s="4" t="s">
        <v>273</v>
      </c>
      <c r="H491" s="6" t="s">
        <v>272</v>
      </c>
      <c r="I491" s="5" t="s">
        <v>2</v>
      </c>
      <c r="J491" s="5" t="s">
        <v>2533</v>
      </c>
      <c r="K491" s="5" t="s">
        <v>204</v>
      </c>
    </row>
    <row r="492" spans="2:11" ht="15.75" hidden="1" customHeight="1" x14ac:dyDescent="0.2">
      <c r="B492" s="4" t="s">
        <v>2523</v>
      </c>
      <c r="C492" s="4" t="s">
        <v>228</v>
      </c>
      <c r="D492" s="4" t="s">
        <v>36</v>
      </c>
      <c r="E492" s="5" t="s">
        <v>5</v>
      </c>
      <c r="F492" s="4" t="s">
        <v>2689</v>
      </c>
      <c r="G492" s="4" t="s">
        <v>273</v>
      </c>
      <c r="H492" s="6" t="s">
        <v>272</v>
      </c>
      <c r="I492" s="5" t="s">
        <v>2</v>
      </c>
      <c r="J492" s="5" t="s">
        <v>1121</v>
      </c>
      <c r="K492" s="5" t="s">
        <v>0</v>
      </c>
    </row>
    <row r="493" spans="2:11" ht="15.75" hidden="1" customHeight="1" x14ac:dyDescent="0.2">
      <c r="B493" s="4" t="s">
        <v>2523</v>
      </c>
      <c r="C493" s="4" t="s">
        <v>676</v>
      </c>
      <c r="D493" s="4" t="s">
        <v>28</v>
      </c>
      <c r="E493" s="4" t="s">
        <v>159</v>
      </c>
      <c r="F493" s="4" t="s">
        <v>2688</v>
      </c>
      <c r="G493" s="14" t="s">
        <v>11</v>
      </c>
      <c r="H493" s="6" t="s">
        <v>11</v>
      </c>
      <c r="I493" s="5" t="s">
        <v>2</v>
      </c>
      <c r="J493" s="5" t="s">
        <v>2533</v>
      </c>
      <c r="K493" s="5" t="s">
        <v>0</v>
      </c>
    </row>
    <row r="494" spans="2:11" ht="15.75" hidden="1" customHeight="1" x14ac:dyDescent="0.2">
      <c r="B494" s="4" t="s">
        <v>2523</v>
      </c>
      <c r="C494" s="5" t="s">
        <v>401</v>
      </c>
      <c r="D494" s="5" t="s">
        <v>71</v>
      </c>
      <c r="E494" s="5" t="s">
        <v>5</v>
      </c>
      <c r="F494" s="4" t="s">
        <v>2687</v>
      </c>
      <c r="G494" s="14" t="s">
        <v>11</v>
      </c>
      <c r="H494" s="6" t="s">
        <v>11</v>
      </c>
      <c r="I494" s="5" t="s">
        <v>2</v>
      </c>
      <c r="J494" s="5" t="s">
        <v>1121</v>
      </c>
      <c r="K494" s="5" t="s">
        <v>0</v>
      </c>
    </row>
    <row r="495" spans="2:11" ht="15.75" hidden="1" customHeight="1" x14ac:dyDescent="0.2">
      <c r="B495" s="4" t="s">
        <v>2523</v>
      </c>
      <c r="C495" s="4" t="s">
        <v>2686</v>
      </c>
      <c r="D495" s="4" t="s">
        <v>236</v>
      </c>
      <c r="E495" s="5" t="s">
        <v>5</v>
      </c>
      <c r="F495" s="4" t="s">
        <v>2685</v>
      </c>
      <c r="G495" s="14" t="s">
        <v>348</v>
      </c>
      <c r="H495" s="6" t="s">
        <v>11</v>
      </c>
      <c r="I495" s="5" t="s">
        <v>2</v>
      </c>
      <c r="J495" s="5" t="s">
        <v>1121</v>
      </c>
      <c r="K495" s="5" t="s">
        <v>0</v>
      </c>
    </row>
    <row r="496" spans="2:11" ht="15.75" hidden="1" customHeight="1" x14ac:dyDescent="0.2">
      <c r="B496" s="4" t="s">
        <v>2523</v>
      </c>
      <c r="C496" s="4" t="s">
        <v>228</v>
      </c>
      <c r="D496" s="4" t="s">
        <v>36</v>
      </c>
      <c r="E496" s="5" t="s">
        <v>5</v>
      </c>
      <c r="F496" s="4" t="s">
        <v>2684</v>
      </c>
      <c r="G496" s="4" t="s">
        <v>273</v>
      </c>
      <c r="H496" s="6" t="s">
        <v>272</v>
      </c>
      <c r="I496" s="5" t="s">
        <v>2</v>
      </c>
      <c r="J496" s="5" t="s">
        <v>1121</v>
      </c>
      <c r="K496" s="5" t="s">
        <v>0</v>
      </c>
    </row>
    <row r="497" spans="2:11" ht="15.75" hidden="1" customHeight="1" x14ac:dyDescent="0.2">
      <c r="B497" s="4" t="s">
        <v>2523</v>
      </c>
      <c r="C497" s="4" t="s">
        <v>358</v>
      </c>
      <c r="D497" s="5" t="s">
        <v>42</v>
      </c>
      <c r="E497" s="5" t="s">
        <v>5</v>
      </c>
      <c r="F497" s="4" t="s">
        <v>2683</v>
      </c>
      <c r="G497" s="14" t="s">
        <v>11</v>
      </c>
      <c r="H497" s="6" t="s">
        <v>11</v>
      </c>
      <c r="I497" s="5" t="s">
        <v>2</v>
      </c>
      <c r="J497" s="5" t="s">
        <v>1121</v>
      </c>
      <c r="K497" s="5" t="s">
        <v>0</v>
      </c>
    </row>
    <row r="498" spans="2:11" ht="15.75" hidden="1" customHeight="1" x14ac:dyDescent="0.2">
      <c r="B498" s="4" t="s">
        <v>2523</v>
      </c>
      <c r="C498" s="4" t="s">
        <v>228</v>
      </c>
      <c r="D498" s="4" t="s">
        <v>36</v>
      </c>
      <c r="E498" s="4" t="s">
        <v>5</v>
      </c>
      <c r="F498" s="4" t="s">
        <v>2682</v>
      </c>
      <c r="G498" s="20" t="s">
        <v>3</v>
      </c>
      <c r="H498" s="6" t="s">
        <v>3</v>
      </c>
      <c r="I498" s="5" t="s">
        <v>2</v>
      </c>
      <c r="J498" s="5" t="s">
        <v>2580</v>
      </c>
      <c r="K498" s="5" t="s">
        <v>0</v>
      </c>
    </row>
    <row r="499" spans="2:11" ht="15.75" hidden="1" customHeight="1" x14ac:dyDescent="0.2">
      <c r="B499" s="4" t="s">
        <v>2523</v>
      </c>
      <c r="C499" s="4" t="s">
        <v>783</v>
      </c>
      <c r="D499" s="4" t="s">
        <v>66</v>
      </c>
      <c r="E499" s="5" t="s">
        <v>5</v>
      </c>
      <c r="F499" s="4" t="s">
        <v>2681</v>
      </c>
      <c r="G499" s="14" t="s">
        <v>3</v>
      </c>
      <c r="H499" s="6" t="s">
        <v>3</v>
      </c>
      <c r="I499" s="5" t="s">
        <v>2</v>
      </c>
      <c r="J499" s="5" t="s">
        <v>1121</v>
      </c>
      <c r="K499" s="5" t="s">
        <v>0</v>
      </c>
    </row>
    <row r="500" spans="2:11" ht="15.75" hidden="1" customHeight="1" x14ac:dyDescent="0.2">
      <c r="B500" s="4" t="s">
        <v>2523</v>
      </c>
      <c r="C500" s="4" t="s">
        <v>278</v>
      </c>
      <c r="D500" s="4" t="s">
        <v>236</v>
      </c>
      <c r="E500" s="4" t="s">
        <v>5</v>
      </c>
      <c r="F500" s="4" t="s">
        <v>2680</v>
      </c>
      <c r="G500" s="14" t="s">
        <v>348</v>
      </c>
      <c r="H500" s="6" t="s">
        <v>11</v>
      </c>
      <c r="I500" s="5" t="s">
        <v>2</v>
      </c>
      <c r="J500" s="5" t="s">
        <v>1121</v>
      </c>
      <c r="K500" s="5"/>
    </row>
    <row r="501" spans="2:11" ht="15.75" hidden="1" customHeight="1" x14ac:dyDescent="0.2">
      <c r="B501" s="4" t="s">
        <v>2523</v>
      </c>
      <c r="C501" s="4" t="s">
        <v>228</v>
      </c>
      <c r="D501" s="4" t="s">
        <v>36</v>
      </c>
      <c r="E501" s="5" t="s">
        <v>5</v>
      </c>
      <c r="F501" s="4" t="s">
        <v>2679</v>
      </c>
      <c r="G501" s="4" t="s">
        <v>273</v>
      </c>
      <c r="H501" s="6" t="s">
        <v>272</v>
      </c>
      <c r="I501" s="5" t="s">
        <v>2</v>
      </c>
      <c r="J501" s="5" t="s">
        <v>1121</v>
      </c>
      <c r="K501" s="5" t="s">
        <v>0</v>
      </c>
    </row>
    <row r="502" spans="2:11" ht="15.75" hidden="1" customHeight="1" x14ac:dyDescent="0.2">
      <c r="B502" s="4" t="s">
        <v>2523</v>
      </c>
      <c r="C502" s="5" t="s">
        <v>150</v>
      </c>
      <c r="D502" s="5" t="s">
        <v>150</v>
      </c>
      <c r="E502" s="5" t="s">
        <v>5</v>
      </c>
      <c r="F502" s="4" t="s">
        <v>2678</v>
      </c>
      <c r="G502" s="14" t="s">
        <v>11</v>
      </c>
      <c r="H502" s="6" t="s">
        <v>11</v>
      </c>
      <c r="I502" s="5" t="s">
        <v>2</v>
      </c>
      <c r="J502" s="5" t="s">
        <v>1121</v>
      </c>
      <c r="K502" s="5" t="s">
        <v>0</v>
      </c>
    </row>
    <row r="503" spans="2:11" ht="15.75" hidden="1" customHeight="1" x14ac:dyDescent="0.2">
      <c r="B503" s="4" t="s">
        <v>2523</v>
      </c>
      <c r="C503" s="5" t="s">
        <v>150</v>
      </c>
      <c r="D503" s="5" t="s">
        <v>150</v>
      </c>
      <c r="E503" s="5" t="s">
        <v>5</v>
      </c>
      <c r="F503" s="4" t="s">
        <v>2677</v>
      </c>
      <c r="G503" s="14" t="s">
        <v>11</v>
      </c>
      <c r="H503" s="6" t="s">
        <v>11</v>
      </c>
      <c r="I503" s="5" t="s">
        <v>2</v>
      </c>
      <c r="J503" s="5" t="s">
        <v>1121</v>
      </c>
      <c r="K503" s="5" t="s">
        <v>0</v>
      </c>
    </row>
    <row r="504" spans="2:11" ht="15.75" hidden="1" customHeight="1" x14ac:dyDescent="0.2">
      <c r="B504" s="4" t="s">
        <v>2523</v>
      </c>
      <c r="C504" s="5" t="s">
        <v>48</v>
      </c>
      <c r="D504" s="5" t="s">
        <v>47</v>
      </c>
      <c r="E504" s="5" t="s">
        <v>5</v>
      </c>
      <c r="F504" s="4" t="s">
        <v>2676</v>
      </c>
      <c r="G504" s="14" t="s">
        <v>11</v>
      </c>
      <c r="H504" s="6" t="s">
        <v>11</v>
      </c>
      <c r="I504" s="5" t="s">
        <v>2</v>
      </c>
      <c r="J504" s="5" t="s">
        <v>1121</v>
      </c>
      <c r="K504" s="5" t="s">
        <v>0</v>
      </c>
    </row>
    <row r="505" spans="2:11" ht="15.75" hidden="1" customHeight="1" x14ac:dyDescent="0.2">
      <c r="B505" s="4" t="s">
        <v>2523</v>
      </c>
      <c r="C505" s="4" t="s">
        <v>271</v>
      </c>
      <c r="D505" s="5" t="s">
        <v>94</v>
      </c>
      <c r="E505" s="5" t="s">
        <v>5</v>
      </c>
      <c r="F505" s="4" t="s">
        <v>2675</v>
      </c>
      <c r="G505" s="14" t="s">
        <v>11</v>
      </c>
      <c r="H505" s="6" t="s">
        <v>11</v>
      </c>
      <c r="I505" s="5" t="s">
        <v>2</v>
      </c>
      <c r="J505" s="5" t="s">
        <v>1121</v>
      </c>
      <c r="K505" s="5" t="s">
        <v>0</v>
      </c>
    </row>
    <row r="506" spans="2:11" ht="15.75" hidden="1" customHeight="1" x14ac:dyDescent="0.2">
      <c r="B506" s="4" t="s">
        <v>2523</v>
      </c>
      <c r="C506" s="4" t="s">
        <v>401</v>
      </c>
      <c r="D506" s="4" t="s">
        <v>71</v>
      </c>
      <c r="E506" s="4" t="s">
        <v>5</v>
      </c>
      <c r="F506" s="4" t="s">
        <v>2674</v>
      </c>
      <c r="G506" s="14" t="s">
        <v>11</v>
      </c>
      <c r="H506" s="6" t="s">
        <v>11</v>
      </c>
      <c r="I506" s="5" t="s">
        <v>2</v>
      </c>
      <c r="J506" s="5" t="s">
        <v>2533</v>
      </c>
      <c r="K506" s="5" t="s">
        <v>0</v>
      </c>
    </row>
    <row r="507" spans="2:11" ht="15.75" hidden="1" customHeight="1" x14ac:dyDescent="0.2">
      <c r="B507" s="4" t="s">
        <v>2523</v>
      </c>
      <c r="C507" s="5" t="s">
        <v>401</v>
      </c>
      <c r="D507" s="5" t="s">
        <v>71</v>
      </c>
      <c r="E507" s="5" t="s">
        <v>5</v>
      </c>
      <c r="F507" s="4" t="s">
        <v>2673</v>
      </c>
      <c r="G507" s="14" t="s">
        <v>11</v>
      </c>
      <c r="H507" s="6" t="s">
        <v>11</v>
      </c>
      <c r="I507" s="5" t="s">
        <v>2</v>
      </c>
      <c r="J507" s="5" t="s">
        <v>1121</v>
      </c>
      <c r="K507" s="5" t="s">
        <v>0</v>
      </c>
    </row>
    <row r="508" spans="2:11" ht="15.75" hidden="1" customHeight="1" x14ac:dyDescent="0.2">
      <c r="B508" s="4" t="s">
        <v>2523</v>
      </c>
      <c r="C508" s="4" t="s">
        <v>594</v>
      </c>
      <c r="D508" s="4" t="s">
        <v>66</v>
      </c>
      <c r="E508" s="5" t="s">
        <v>5</v>
      </c>
      <c r="F508" s="4" t="s">
        <v>2672</v>
      </c>
      <c r="G508" s="14" t="s">
        <v>348</v>
      </c>
      <c r="H508" s="6" t="s">
        <v>11</v>
      </c>
      <c r="I508" s="5" t="s">
        <v>2</v>
      </c>
      <c r="J508" s="5" t="s">
        <v>1121</v>
      </c>
      <c r="K508" s="5" t="s">
        <v>0</v>
      </c>
    </row>
    <row r="509" spans="2:11" ht="15.75" hidden="1" customHeight="1" x14ac:dyDescent="0.2">
      <c r="B509" s="4" t="s">
        <v>2523</v>
      </c>
      <c r="C509" s="4" t="s">
        <v>228</v>
      </c>
      <c r="D509" s="4" t="s">
        <v>36</v>
      </c>
      <c r="E509" s="5" t="s">
        <v>5</v>
      </c>
      <c r="F509" s="4" t="s">
        <v>2671</v>
      </c>
      <c r="G509" s="4" t="s">
        <v>273</v>
      </c>
      <c r="H509" s="6" t="s">
        <v>272</v>
      </c>
      <c r="I509" s="5" t="s">
        <v>2</v>
      </c>
      <c r="J509" s="5" t="s">
        <v>1121</v>
      </c>
      <c r="K509" s="5" t="s">
        <v>0</v>
      </c>
    </row>
    <row r="510" spans="2:11" ht="15.75" hidden="1" customHeight="1" x14ac:dyDescent="0.2">
      <c r="B510" s="4" t="s">
        <v>2523</v>
      </c>
      <c r="C510" s="5" t="s">
        <v>150</v>
      </c>
      <c r="D510" s="5" t="s">
        <v>150</v>
      </c>
      <c r="E510" s="5" t="s">
        <v>5</v>
      </c>
      <c r="F510" s="4" t="s">
        <v>2670</v>
      </c>
      <c r="G510" s="14" t="s">
        <v>11</v>
      </c>
      <c r="H510" s="6" t="s">
        <v>11</v>
      </c>
      <c r="I510" s="5" t="s">
        <v>2</v>
      </c>
      <c r="J510" s="5" t="s">
        <v>1121</v>
      </c>
      <c r="K510" s="5" t="s">
        <v>0</v>
      </c>
    </row>
    <row r="511" spans="2:11" ht="15.75" hidden="1" customHeight="1" x14ac:dyDescent="0.2">
      <c r="B511" s="4" t="s">
        <v>2523</v>
      </c>
      <c r="C511" s="5"/>
      <c r="D511" s="5" t="s">
        <v>18</v>
      </c>
      <c r="E511" s="5" t="s">
        <v>5</v>
      </c>
      <c r="F511" s="4" t="s">
        <v>2669</v>
      </c>
      <c r="G511" s="14" t="s">
        <v>11</v>
      </c>
      <c r="H511" s="6" t="s">
        <v>11</v>
      </c>
      <c r="I511" s="5" t="s">
        <v>2</v>
      </c>
      <c r="J511" s="5" t="s">
        <v>1121</v>
      </c>
      <c r="K511" s="5" t="s">
        <v>0</v>
      </c>
    </row>
    <row r="512" spans="2:11" ht="15.75" hidden="1" customHeight="1" x14ac:dyDescent="0.2">
      <c r="B512" s="4" t="s">
        <v>2523</v>
      </c>
      <c r="C512" s="4" t="s">
        <v>878</v>
      </c>
      <c r="D512" s="4" t="s">
        <v>877</v>
      </c>
      <c r="E512" s="4" t="s">
        <v>159</v>
      </c>
      <c r="F512" s="4" t="s">
        <v>2668</v>
      </c>
      <c r="G512" s="14" t="s">
        <v>348</v>
      </c>
      <c r="H512" s="6" t="s">
        <v>11</v>
      </c>
      <c r="I512" s="5" t="s">
        <v>2</v>
      </c>
      <c r="J512" s="5" t="s">
        <v>1121</v>
      </c>
      <c r="K512" s="5" t="s">
        <v>0</v>
      </c>
    </row>
    <row r="513" spans="2:11" ht="15.75" hidden="1" customHeight="1" x14ac:dyDescent="0.2">
      <c r="B513" s="4" t="s">
        <v>2523</v>
      </c>
      <c r="C513" s="5" t="s">
        <v>48</v>
      </c>
      <c r="D513" s="5" t="s">
        <v>47</v>
      </c>
      <c r="E513" s="5" t="s">
        <v>5</v>
      </c>
      <c r="F513" s="4" t="s">
        <v>2667</v>
      </c>
      <c r="G513" s="14" t="s">
        <v>11</v>
      </c>
      <c r="H513" s="6" t="s">
        <v>11</v>
      </c>
      <c r="I513" s="5" t="s">
        <v>2</v>
      </c>
      <c r="J513" s="5" t="s">
        <v>1121</v>
      </c>
      <c r="K513" s="5" t="s">
        <v>0</v>
      </c>
    </row>
    <row r="514" spans="2:11" ht="15.75" hidden="1" customHeight="1" x14ac:dyDescent="0.2">
      <c r="B514" s="4" t="s">
        <v>2523</v>
      </c>
      <c r="C514" s="4" t="s">
        <v>2666</v>
      </c>
      <c r="D514" s="4" t="s">
        <v>77</v>
      </c>
      <c r="E514" s="5" t="s">
        <v>5</v>
      </c>
      <c r="F514" s="4" t="s">
        <v>2665</v>
      </c>
      <c r="G514" s="14" t="s">
        <v>348</v>
      </c>
      <c r="H514" s="6" t="s">
        <v>11</v>
      </c>
      <c r="I514" s="5" t="s">
        <v>2</v>
      </c>
      <c r="J514" s="5" t="s">
        <v>1121</v>
      </c>
      <c r="K514" s="5" t="s">
        <v>0</v>
      </c>
    </row>
    <row r="515" spans="2:11" ht="15.75" hidden="1" customHeight="1" x14ac:dyDescent="0.2">
      <c r="B515" s="4" t="s">
        <v>2523</v>
      </c>
      <c r="C515" s="4" t="s">
        <v>228</v>
      </c>
      <c r="D515" s="4" t="s">
        <v>36</v>
      </c>
      <c r="E515" s="5" t="s">
        <v>5</v>
      </c>
      <c r="F515" s="4" t="s">
        <v>2664</v>
      </c>
      <c r="G515" s="4" t="s">
        <v>944</v>
      </c>
      <c r="H515" s="6" t="s">
        <v>272</v>
      </c>
      <c r="I515" s="5" t="s">
        <v>2</v>
      </c>
      <c r="J515" s="5" t="s">
        <v>1121</v>
      </c>
      <c r="K515" s="5" t="s">
        <v>0</v>
      </c>
    </row>
    <row r="516" spans="2:11" ht="15.75" hidden="1" customHeight="1" x14ac:dyDescent="0.2">
      <c r="B516" s="4" t="s">
        <v>2523</v>
      </c>
      <c r="C516" s="5" t="s">
        <v>676</v>
      </c>
      <c r="D516" s="5" t="s">
        <v>28</v>
      </c>
      <c r="E516" s="5" t="s">
        <v>5</v>
      </c>
      <c r="F516" s="4" t="s">
        <v>2663</v>
      </c>
      <c r="G516" s="14" t="s">
        <v>11</v>
      </c>
      <c r="H516" s="6" t="s">
        <v>11</v>
      </c>
      <c r="I516" s="5" t="s">
        <v>2</v>
      </c>
      <c r="J516" s="5" t="s">
        <v>1121</v>
      </c>
      <c r="K516" s="5" t="s">
        <v>0</v>
      </c>
    </row>
    <row r="517" spans="2:11" ht="15.75" hidden="1" customHeight="1" x14ac:dyDescent="0.2">
      <c r="B517" s="4" t="s">
        <v>2523</v>
      </c>
      <c r="C517" s="5" t="s">
        <v>91</v>
      </c>
      <c r="D517" s="5" t="s">
        <v>42</v>
      </c>
      <c r="E517" s="5" t="s">
        <v>5</v>
      </c>
      <c r="F517" s="4" t="s">
        <v>2662</v>
      </c>
      <c r="G517" s="14" t="s">
        <v>11</v>
      </c>
      <c r="H517" s="6" t="s">
        <v>11</v>
      </c>
      <c r="I517" s="5" t="s">
        <v>2</v>
      </c>
      <c r="J517" s="5" t="s">
        <v>1121</v>
      </c>
      <c r="K517" s="5" t="s">
        <v>0</v>
      </c>
    </row>
    <row r="518" spans="2:11" ht="15.75" hidden="1" customHeight="1" x14ac:dyDescent="0.2">
      <c r="B518" s="4" t="s">
        <v>2523</v>
      </c>
      <c r="C518" s="4" t="s">
        <v>271</v>
      </c>
      <c r="D518" s="5" t="s">
        <v>94</v>
      </c>
      <c r="E518" s="5" t="s">
        <v>5</v>
      </c>
      <c r="F518" s="4" t="s">
        <v>2661</v>
      </c>
      <c r="G518" s="14" t="s">
        <v>11</v>
      </c>
      <c r="H518" s="6" t="s">
        <v>11</v>
      </c>
      <c r="I518" s="5" t="s">
        <v>2</v>
      </c>
      <c r="J518" s="5" t="s">
        <v>1121</v>
      </c>
      <c r="K518" s="5" t="s">
        <v>0</v>
      </c>
    </row>
    <row r="519" spans="2:11" ht="15.75" hidden="1" customHeight="1" x14ac:dyDescent="0.2">
      <c r="B519" s="4" t="s">
        <v>2523</v>
      </c>
      <c r="C519" s="5" t="s">
        <v>421</v>
      </c>
      <c r="D519" s="5" t="s">
        <v>42</v>
      </c>
      <c r="E519" s="5" t="s">
        <v>5</v>
      </c>
      <c r="F519" s="4" t="s">
        <v>2660</v>
      </c>
      <c r="G519" s="14" t="s">
        <v>11</v>
      </c>
      <c r="H519" s="6" t="s">
        <v>11</v>
      </c>
      <c r="I519" s="5" t="s">
        <v>2</v>
      </c>
      <c r="J519" s="5" t="s">
        <v>1121</v>
      </c>
      <c r="K519" s="5" t="s">
        <v>0</v>
      </c>
    </row>
    <row r="520" spans="2:11" ht="15.75" hidden="1" customHeight="1" x14ac:dyDescent="0.2">
      <c r="B520" s="4" t="s">
        <v>2523</v>
      </c>
      <c r="C520" s="4" t="s">
        <v>271</v>
      </c>
      <c r="D520" s="5" t="s">
        <v>94</v>
      </c>
      <c r="E520" s="5" t="s">
        <v>5</v>
      </c>
      <c r="F520" s="4" t="s">
        <v>2659</v>
      </c>
      <c r="G520" s="5" t="s">
        <v>272</v>
      </c>
      <c r="H520" s="6">
        <v>19</v>
      </c>
      <c r="I520" s="5" t="s">
        <v>2</v>
      </c>
      <c r="J520" s="5" t="s">
        <v>1121</v>
      </c>
      <c r="K520" s="5" t="s">
        <v>0</v>
      </c>
    </row>
    <row r="521" spans="2:11" ht="15.75" hidden="1" customHeight="1" x14ac:dyDescent="0.2">
      <c r="B521" s="4" t="s">
        <v>2523</v>
      </c>
      <c r="C521" s="5" t="s">
        <v>89</v>
      </c>
      <c r="D521" s="5" t="s">
        <v>88</v>
      </c>
      <c r="E521" s="5" t="s">
        <v>5</v>
      </c>
      <c r="F521" s="4" t="s">
        <v>2658</v>
      </c>
      <c r="G521" s="14" t="s">
        <v>11</v>
      </c>
      <c r="H521" s="6" t="s">
        <v>11</v>
      </c>
      <c r="I521" s="5" t="s">
        <v>2</v>
      </c>
      <c r="J521" s="5" t="s">
        <v>1121</v>
      </c>
      <c r="K521" s="5" t="s">
        <v>0</v>
      </c>
    </row>
    <row r="522" spans="2:11" ht="15.75" hidden="1" customHeight="1" x14ac:dyDescent="0.2">
      <c r="B522" s="4" t="s">
        <v>2523</v>
      </c>
      <c r="C522" s="4" t="s">
        <v>1857</v>
      </c>
      <c r="D522" s="4" t="s">
        <v>236</v>
      </c>
      <c r="E522" s="5" t="s">
        <v>5</v>
      </c>
      <c r="F522" s="4" t="s">
        <v>2657</v>
      </c>
      <c r="G522" s="14" t="s">
        <v>348</v>
      </c>
      <c r="H522" s="6" t="s">
        <v>11</v>
      </c>
      <c r="I522" s="5" t="s">
        <v>2</v>
      </c>
      <c r="J522" s="5" t="s">
        <v>1121</v>
      </c>
      <c r="K522" s="5" t="s">
        <v>0</v>
      </c>
    </row>
    <row r="523" spans="2:11" ht="15.75" hidden="1" customHeight="1" x14ac:dyDescent="0.2">
      <c r="B523" s="4" t="s">
        <v>2523</v>
      </c>
      <c r="C523" s="4" t="s">
        <v>228</v>
      </c>
      <c r="D523" s="4" t="s">
        <v>36</v>
      </c>
      <c r="E523" s="4" t="s">
        <v>159</v>
      </c>
      <c r="F523" s="4" t="s">
        <v>2656</v>
      </c>
      <c r="G523" s="4" t="s">
        <v>289</v>
      </c>
      <c r="H523" s="6" t="s">
        <v>272</v>
      </c>
      <c r="I523" s="5" t="s">
        <v>148</v>
      </c>
      <c r="J523" s="5" t="s">
        <v>50</v>
      </c>
      <c r="K523" s="5" t="s">
        <v>279</v>
      </c>
    </row>
    <row r="524" spans="2:11" ht="15.75" hidden="1" customHeight="1" x14ac:dyDescent="0.2">
      <c r="B524" s="4" t="s">
        <v>2523</v>
      </c>
      <c r="C524" s="5" t="s">
        <v>401</v>
      </c>
      <c r="D524" s="5" t="s">
        <v>71</v>
      </c>
      <c r="E524" s="5" t="s">
        <v>5</v>
      </c>
      <c r="F524" s="4" t="s">
        <v>2655</v>
      </c>
      <c r="G524" s="14" t="s">
        <v>11</v>
      </c>
      <c r="H524" s="6" t="s">
        <v>11</v>
      </c>
      <c r="I524" s="5" t="s">
        <v>2</v>
      </c>
      <c r="J524" s="5" t="s">
        <v>1121</v>
      </c>
      <c r="K524" s="5" t="s">
        <v>0</v>
      </c>
    </row>
    <row r="525" spans="2:11" ht="15.75" hidden="1" customHeight="1" x14ac:dyDescent="0.2">
      <c r="B525" s="4" t="s">
        <v>2523</v>
      </c>
      <c r="C525" s="4"/>
      <c r="D525" s="4" t="s">
        <v>236</v>
      </c>
      <c r="E525" s="5" t="s">
        <v>5</v>
      </c>
      <c r="F525" s="4" t="s">
        <v>2654</v>
      </c>
      <c r="G525" s="14" t="s">
        <v>348</v>
      </c>
      <c r="H525" s="6" t="s">
        <v>11</v>
      </c>
      <c r="I525" s="5" t="s">
        <v>2</v>
      </c>
      <c r="J525" s="5" t="s">
        <v>1121</v>
      </c>
      <c r="K525" s="5" t="s">
        <v>0</v>
      </c>
    </row>
    <row r="526" spans="2:11" ht="15.75" hidden="1" customHeight="1" x14ac:dyDescent="0.2">
      <c r="B526" s="4" t="s">
        <v>2523</v>
      </c>
      <c r="C526" s="4" t="s">
        <v>358</v>
      </c>
      <c r="D526" s="5" t="s">
        <v>42</v>
      </c>
      <c r="E526" s="4" t="s">
        <v>5</v>
      </c>
      <c r="F526" s="4" t="s">
        <v>2653</v>
      </c>
      <c r="G526" s="14" t="s">
        <v>11</v>
      </c>
      <c r="H526" s="6" t="s">
        <v>11</v>
      </c>
      <c r="I526" s="5" t="s">
        <v>2</v>
      </c>
      <c r="J526" s="5" t="s">
        <v>1121</v>
      </c>
      <c r="K526" s="5"/>
    </row>
    <row r="527" spans="2:11" ht="15.75" hidden="1" customHeight="1" x14ac:dyDescent="0.2">
      <c r="B527" s="4" t="s">
        <v>2523</v>
      </c>
      <c r="C527" s="5" t="s">
        <v>401</v>
      </c>
      <c r="D527" s="5" t="s">
        <v>71</v>
      </c>
      <c r="E527" s="5" t="s">
        <v>5</v>
      </c>
      <c r="F527" s="4" t="s">
        <v>2652</v>
      </c>
      <c r="G527" s="14" t="s">
        <v>11</v>
      </c>
      <c r="H527" s="6" t="s">
        <v>11</v>
      </c>
      <c r="I527" s="5" t="s">
        <v>2</v>
      </c>
      <c r="J527" s="5" t="s">
        <v>1121</v>
      </c>
      <c r="K527" s="5" t="s">
        <v>0</v>
      </c>
    </row>
    <row r="528" spans="2:11" ht="15.75" hidden="1" customHeight="1" x14ac:dyDescent="0.2">
      <c r="B528" s="4" t="s">
        <v>2523</v>
      </c>
      <c r="C528" s="4" t="s">
        <v>318</v>
      </c>
      <c r="D528" s="4" t="s">
        <v>317</v>
      </c>
      <c r="E528" s="4" t="s">
        <v>159</v>
      </c>
      <c r="F528" s="4" t="s">
        <v>2651</v>
      </c>
      <c r="G528" s="14" t="s">
        <v>11</v>
      </c>
      <c r="H528" s="6" t="s">
        <v>11</v>
      </c>
      <c r="I528" s="4" t="s">
        <v>2</v>
      </c>
      <c r="J528" s="4" t="s">
        <v>2525</v>
      </c>
      <c r="K528" s="4" t="s">
        <v>0</v>
      </c>
    </row>
    <row r="529" spans="2:11" ht="15.75" hidden="1" customHeight="1" x14ac:dyDescent="0.2">
      <c r="B529" s="4" t="s">
        <v>2523</v>
      </c>
      <c r="C529" s="5" t="s">
        <v>48</v>
      </c>
      <c r="D529" s="5" t="s">
        <v>47</v>
      </c>
      <c r="E529" s="5" t="s">
        <v>5</v>
      </c>
      <c r="F529" s="4" t="s">
        <v>2650</v>
      </c>
      <c r="G529" s="14" t="s">
        <v>11</v>
      </c>
      <c r="H529" s="6" t="s">
        <v>11</v>
      </c>
      <c r="I529" s="5" t="s">
        <v>2</v>
      </c>
      <c r="J529" s="5" t="s">
        <v>1121</v>
      </c>
      <c r="K529" s="5" t="s">
        <v>0</v>
      </c>
    </row>
    <row r="530" spans="2:11" ht="15.75" hidden="1" customHeight="1" x14ac:dyDescent="0.2">
      <c r="B530" s="4" t="s">
        <v>2523</v>
      </c>
      <c r="C530" s="4" t="s">
        <v>150</v>
      </c>
      <c r="D530" s="4" t="s">
        <v>150</v>
      </c>
      <c r="E530" s="4" t="s">
        <v>5</v>
      </c>
      <c r="F530" s="4" t="s">
        <v>2649</v>
      </c>
      <c r="G530" s="14" t="s">
        <v>11</v>
      </c>
      <c r="H530" s="6" t="s">
        <v>11</v>
      </c>
      <c r="I530" s="5" t="s">
        <v>2</v>
      </c>
      <c r="J530" s="5" t="s">
        <v>2533</v>
      </c>
      <c r="K530" s="5" t="s">
        <v>204</v>
      </c>
    </row>
    <row r="531" spans="2:11" ht="15.75" hidden="1" customHeight="1" x14ac:dyDescent="0.2">
      <c r="B531" s="4" t="s">
        <v>2523</v>
      </c>
      <c r="C531" s="5" t="s">
        <v>2648</v>
      </c>
      <c r="D531" s="5" t="s">
        <v>154</v>
      </c>
      <c r="E531" s="5" t="s">
        <v>5</v>
      </c>
      <c r="F531" s="4" t="s">
        <v>2647</v>
      </c>
      <c r="G531" s="14" t="s">
        <v>11</v>
      </c>
      <c r="H531" s="6" t="s">
        <v>11</v>
      </c>
      <c r="I531" s="5" t="s">
        <v>2</v>
      </c>
      <c r="J531" s="5" t="s">
        <v>1121</v>
      </c>
      <c r="K531" s="5" t="s">
        <v>0</v>
      </c>
    </row>
    <row r="532" spans="2:11" ht="15.75" hidden="1" customHeight="1" x14ac:dyDescent="0.2">
      <c r="B532" s="4" t="s">
        <v>2523</v>
      </c>
      <c r="C532" s="4" t="s">
        <v>594</v>
      </c>
      <c r="D532" s="4" t="s">
        <v>66</v>
      </c>
      <c r="E532" s="5" t="s">
        <v>5</v>
      </c>
      <c r="F532" s="4" t="s">
        <v>2646</v>
      </c>
      <c r="G532" s="14" t="s">
        <v>348</v>
      </c>
      <c r="H532" s="6" t="s">
        <v>11</v>
      </c>
      <c r="I532" s="5" t="s">
        <v>2</v>
      </c>
      <c r="J532" s="5" t="s">
        <v>1121</v>
      </c>
      <c r="K532" s="5" t="s">
        <v>0</v>
      </c>
    </row>
    <row r="533" spans="2:11" ht="15.75" hidden="1" customHeight="1" x14ac:dyDescent="0.2">
      <c r="B533" s="4" t="s">
        <v>2523</v>
      </c>
      <c r="C533" s="5" t="s">
        <v>401</v>
      </c>
      <c r="D533" s="5" t="s">
        <v>71</v>
      </c>
      <c r="E533" s="5" t="s">
        <v>5</v>
      </c>
      <c r="F533" s="4" t="s">
        <v>2645</v>
      </c>
      <c r="G533" s="14" t="s">
        <v>11</v>
      </c>
      <c r="H533" s="6" t="s">
        <v>11</v>
      </c>
      <c r="I533" s="5" t="s">
        <v>2</v>
      </c>
      <c r="J533" s="5" t="s">
        <v>1121</v>
      </c>
      <c r="K533" s="5" t="s">
        <v>0</v>
      </c>
    </row>
    <row r="534" spans="2:11" ht="15.75" hidden="1" customHeight="1" x14ac:dyDescent="0.2">
      <c r="B534" s="4" t="s">
        <v>2523</v>
      </c>
      <c r="C534" s="5" t="s">
        <v>183</v>
      </c>
      <c r="D534" s="5" t="s">
        <v>150</v>
      </c>
      <c r="E534" s="5" t="s">
        <v>5</v>
      </c>
      <c r="F534" s="4" t="s">
        <v>2644</v>
      </c>
      <c r="G534" s="14" t="s">
        <v>11</v>
      </c>
      <c r="H534" s="6" t="s">
        <v>11</v>
      </c>
      <c r="I534" s="5" t="s">
        <v>2</v>
      </c>
      <c r="J534" s="5" t="s">
        <v>1121</v>
      </c>
      <c r="K534" s="5" t="s">
        <v>75</v>
      </c>
    </row>
    <row r="535" spans="2:11" ht="15.75" hidden="1" customHeight="1" x14ac:dyDescent="0.2">
      <c r="B535" s="4" t="s">
        <v>2523</v>
      </c>
      <c r="C535" s="5" t="s">
        <v>2643</v>
      </c>
      <c r="D535" s="4" t="s">
        <v>210</v>
      </c>
      <c r="E535" s="5" t="s">
        <v>5</v>
      </c>
      <c r="F535" s="4" t="s">
        <v>2642</v>
      </c>
      <c r="G535" s="14" t="s">
        <v>3</v>
      </c>
      <c r="H535" s="6" t="s">
        <v>3</v>
      </c>
      <c r="I535" s="5" t="s">
        <v>109</v>
      </c>
      <c r="J535" s="5" t="s">
        <v>1121</v>
      </c>
      <c r="K535" s="5" t="s">
        <v>57</v>
      </c>
    </row>
    <row r="536" spans="2:11" ht="15.75" hidden="1" customHeight="1" x14ac:dyDescent="0.2">
      <c r="B536" s="4" t="s">
        <v>2523</v>
      </c>
      <c r="C536" s="4" t="s">
        <v>271</v>
      </c>
      <c r="D536" s="4" t="s">
        <v>94</v>
      </c>
      <c r="E536" s="4" t="s">
        <v>23</v>
      </c>
      <c r="F536" s="4" t="s">
        <v>2641</v>
      </c>
      <c r="G536" s="4" t="s">
        <v>272</v>
      </c>
      <c r="H536" s="6">
        <v>19</v>
      </c>
      <c r="I536" s="5" t="s">
        <v>2</v>
      </c>
      <c r="J536" s="5" t="s">
        <v>2533</v>
      </c>
      <c r="K536" s="5" t="s">
        <v>0</v>
      </c>
    </row>
    <row r="537" spans="2:11" ht="15.75" hidden="1" customHeight="1" x14ac:dyDescent="0.2">
      <c r="B537" s="4" t="s">
        <v>2523</v>
      </c>
      <c r="C537" s="4" t="s">
        <v>228</v>
      </c>
      <c r="D537" s="4" t="s">
        <v>36</v>
      </c>
      <c r="E537" s="4" t="s">
        <v>159</v>
      </c>
      <c r="F537" s="4" t="s">
        <v>2640</v>
      </c>
      <c r="G537" s="4" t="s">
        <v>289</v>
      </c>
      <c r="H537" s="6" t="s">
        <v>272</v>
      </c>
      <c r="I537" s="5" t="s">
        <v>148</v>
      </c>
      <c r="J537" s="5" t="s">
        <v>50</v>
      </c>
      <c r="K537" s="5" t="s">
        <v>279</v>
      </c>
    </row>
    <row r="538" spans="2:11" ht="15.75" hidden="1" customHeight="1" x14ac:dyDescent="0.2">
      <c r="B538" s="4" t="s">
        <v>2523</v>
      </c>
      <c r="C538" s="4" t="s">
        <v>228</v>
      </c>
      <c r="D538" s="4" t="s">
        <v>36</v>
      </c>
      <c r="E538" s="4" t="s">
        <v>5</v>
      </c>
      <c r="F538" s="4" t="s">
        <v>2639</v>
      </c>
      <c r="G538" s="14" t="s">
        <v>348</v>
      </c>
      <c r="H538" s="6" t="s">
        <v>11</v>
      </c>
      <c r="I538" s="5" t="s">
        <v>2</v>
      </c>
      <c r="J538" s="5" t="s">
        <v>1121</v>
      </c>
      <c r="K538" s="5" t="s">
        <v>0</v>
      </c>
    </row>
    <row r="539" spans="2:11" ht="15.75" hidden="1" customHeight="1" x14ac:dyDescent="0.2">
      <c r="B539" s="4" t="s">
        <v>2523</v>
      </c>
      <c r="C539" s="5" t="s">
        <v>676</v>
      </c>
      <c r="D539" s="5" t="s">
        <v>28</v>
      </c>
      <c r="E539" s="5" t="s">
        <v>5</v>
      </c>
      <c r="F539" s="4" t="s">
        <v>2638</v>
      </c>
      <c r="G539" s="14" t="s">
        <v>11</v>
      </c>
      <c r="H539" s="6" t="s">
        <v>11</v>
      </c>
      <c r="I539" s="5" t="s">
        <v>2</v>
      </c>
      <c r="J539" s="5" t="s">
        <v>1121</v>
      </c>
      <c r="K539" s="5" t="s">
        <v>0</v>
      </c>
    </row>
    <row r="540" spans="2:11" ht="15.75" hidden="1" customHeight="1" x14ac:dyDescent="0.2">
      <c r="B540" s="4" t="s">
        <v>2523</v>
      </c>
      <c r="C540" s="4" t="s">
        <v>139</v>
      </c>
      <c r="D540" s="4" t="s">
        <v>18</v>
      </c>
      <c r="E540" s="4" t="s">
        <v>5</v>
      </c>
      <c r="F540" s="4" t="s">
        <v>2637</v>
      </c>
      <c r="G540" s="14" t="s">
        <v>348</v>
      </c>
      <c r="H540" s="6" t="s">
        <v>11</v>
      </c>
      <c r="I540" s="5" t="s">
        <v>2</v>
      </c>
      <c r="J540" s="5" t="s">
        <v>1121</v>
      </c>
      <c r="K540" s="5" t="s">
        <v>75</v>
      </c>
    </row>
    <row r="541" spans="2:11" ht="15.75" hidden="1" customHeight="1" x14ac:dyDescent="0.2">
      <c r="B541" s="4" t="s">
        <v>2523</v>
      </c>
      <c r="C541" s="4" t="s">
        <v>878</v>
      </c>
      <c r="D541" s="4" t="s">
        <v>877</v>
      </c>
      <c r="E541" s="5" t="s">
        <v>5</v>
      </c>
      <c r="F541" s="4" t="s">
        <v>2636</v>
      </c>
      <c r="G541" s="14" t="s">
        <v>348</v>
      </c>
      <c r="H541" s="6" t="s">
        <v>11</v>
      </c>
      <c r="I541" s="5" t="s">
        <v>2</v>
      </c>
      <c r="J541" s="5" t="s">
        <v>1121</v>
      </c>
      <c r="K541" s="5" t="s">
        <v>0</v>
      </c>
    </row>
    <row r="542" spans="2:11" ht="15.75" hidden="1" customHeight="1" x14ac:dyDescent="0.2">
      <c r="B542" s="4" t="s">
        <v>2523</v>
      </c>
      <c r="C542" s="4" t="s">
        <v>358</v>
      </c>
      <c r="D542" s="5" t="s">
        <v>42</v>
      </c>
      <c r="E542" s="5" t="s">
        <v>5</v>
      </c>
      <c r="F542" s="4" t="s">
        <v>2635</v>
      </c>
      <c r="G542" s="14" t="s">
        <v>11</v>
      </c>
      <c r="H542" s="6" t="s">
        <v>11</v>
      </c>
      <c r="I542" s="5" t="s">
        <v>2</v>
      </c>
      <c r="J542" s="5" t="s">
        <v>1121</v>
      </c>
      <c r="K542" s="5" t="s">
        <v>0</v>
      </c>
    </row>
    <row r="543" spans="2:11" ht="15.75" hidden="1" customHeight="1" x14ac:dyDescent="0.2">
      <c r="B543" s="4" t="s">
        <v>2523</v>
      </c>
      <c r="C543" s="5" t="s">
        <v>408</v>
      </c>
      <c r="D543" s="5" t="s">
        <v>28</v>
      </c>
      <c r="E543" s="5" t="s">
        <v>5</v>
      </c>
      <c r="F543" s="4" t="s">
        <v>2634</v>
      </c>
      <c r="G543" s="14" t="s">
        <v>11</v>
      </c>
      <c r="H543" s="6" t="s">
        <v>11</v>
      </c>
      <c r="I543" s="5" t="s">
        <v>2</v>
      </c>
      <c r="J543" s="5" t="s">
        <v>1121</v>
      </c>
      <c r="K543" s="5" t="s">
        <v>0</v>
      </c>
    </row>
    <row r="544" spans="2:11" ht="15.75" hidden="1" customHeight="1" x14ac:dyDescent="0.2">
      <c r="B544" s="4" t="s">
        <v>2523</v>
      </c>
      <c r="C544" s="5" t="s">
        <v>150</v>
      </c>
      <c r="D544" s="5" t="s">
        <v>150</v>
      </c>
      <c r="E544" s="5" t="s">
        <v>5</v>
      </c>
      <c r="F544" s="4" t="s">
        <v>2633</v>
      </c>
      <c r="G544" s="14" t="s">
        <v>11</v>
      </c>
      <c r="H544" s="6" t="s">
        <v>11</v>
      </c>
      <c r="I544" s="5" t="s">
        <v>2</v>
      </c>
      <c r="J544" s="5" t="s">
        <v>1121</v>
      </c>
      <c r="K544" s="5" t="s">
        <v>0</v>
      </c>
    </row>
    <row r="545" spans="2:11" ht="15.75" hidden="1" customHeight="1" x14ac:dyDescent="0.2">
      <c r="B545" s="4" t="s">
        <v>2523</v>
      </c>
      <c r="C545" s="5" t="s">
        <v>401</v>
      </c>
      <c r="D545" s="5" t="s">
        <v>71</v>
      </c>
      <c r="E545" s="5" t="s">
        <v>5</v>
      </c>
      <c r="F545" s="4" t="s">
        <v>2632</v>
      </c>
      <c r="G545" s="14" t="s">
        <v>11</v>
      </c>
      <c r="H545" s="6" t="s">
        <v>11</v>
      </c>
      <c r="I545" s="5" t="s">
        <v>2</v>
      </c>
      <c r="J545" s="5" t="s">
        <v>1121</v>
      </c>
      <c r="K545" s="5" t="s">
        <v>0</v>
      </c>
    </row>
    <row r="546" spans="2:11" ht="15.75" hidden="1" customHeight="1" x14ac:dyDescent="0.2">
      <c r="B546" s="4" t="s">
        <v>2523</v>
      </c>
      <c r="C546" s="5" t="s">
        <v>2631</v>
      </c>
      <c r="D546" s="5" t="s">
        <v>154</v>
      </c>
      <c r="E546" s="5" t="s">
        <v>5</v>
      </c>
      <c r="F546" s="4" t="s">
        <v>2630</v>
      </c>
      <c r="G546" s="14" t="s">
        <v>207</v>
      </c>
      <c r="H546" s="6" t="s">
        <v>11</v>
      </c>
      <c r="I546" s="5" t="s">
        <v>2</v>
      </c>
      <c r="J546" s="5" t="s">
        <v>1121</v>
      </c>
      <c r="K546" s="5" t="s">
        <v>0</v>
      </c>
    </row>
    <row r="547" spans="2:11" ht="15.75" hidden="1" customHeight="1" x14ac:dyDescent="0.2">
      <c r="B547" s="4" t="s">
        <v>2523</v>
      </c>
      <c r="C547" s="4" t="s">
        <v>271</v>
      </c>
      <c r="D547" s="5" t="s">
        <v>94</v>
      </c>
      <c r="E547" s="5" t="s">
        <v>5</v>
      </c>
      <c r="F547" s="4" t="s">
        <v>2629</v>
      </c>
      <c r="G547" s="14" t="s">
        <v>11</v>
      </c>
      <c r="H547" s="6" t="s">
        <v>11</v>
      </c>
      <c r="I547" s="5" t="s">
        <v>2</v>
      </c>
      <c r="J547" s="5" t="s">
        <v>1121</v>
      </c>
      <c r="K547" s="5" t="s">
        <v>0</v>
      </c>
    </row>
    <row r="548" spans="2:11" ht="15.75" hidden="1" customHeight="1" x14ac:dyDescent="0.2">
      <c r="B548" s="4" t="s">
        <v>2523</v>
      </c>
      <c r="C548" s="5" t="s">
        <v>150</v>
      </c>
      <c r="D548" s="5" t="s">
        <v>150</v>
      </c>
      <c r="E548" s="5" t="s">
        <v>5</v>
      </c>
      <c r="F548" s="4" t="s">
        <v>2628</v>
      </c>
      <c r="G548" s="14" t="s">
        <v>11</v>
      </c>
      <c r="H548" s="6" t="s">
        <v>11</v>
      </c>
      <c r="I548" s="5" t="s">
        <v>2</v>
      </c>
      <c r="J548" s="5" t="s">
        <v>1121</v>
      </c>
      <c r="K548" s="5" t="s">
        <v>0</v>
      </c>
    </row>
    <row r="549" spans="2:11" ht="15.75" hidden="1" customHeight="1" x14ac:dyDescent="0.2">
      <c r="B549" s="4" t="s">
        <v>2523</v>
      </c>
      <c r="C549" s="4" t="s">
        <v>783</v>
      </c>
      <c r="D549" s="4" t="s">
        <v>66</v>
      </c>
      <c r="E549" s="4" t="s">
        <v>5</v>
      </c>
      <c r="F549" s="4" t="s">
        <v>2627</v>
      </c>
      <c r="G549" s="14" t="s">
        <v>348</v>
      </c>
      <c r="H549" s="6" t="s">
        <v>11</v>
      </c>
      <c r="I549" s="5" t="s">
        <v>2</v>
      </c>
      <c r="J549" s="5" t="s">
        <v>1121</v>
      </c>
      <c r="K549" s="5" t="s">
        <v>0</v>
      </c>
    </row>
    <row r="550" spans="2:11" ht="15.75" hidden="1" customHeight="1" x14ac:dyDescent="0.2">
      <c r="B550" s="4" t="s">
        <v>2523</v>
      </c>
      <c r="C550" s="4" t="s">
        <v>271</v>
      </c>
      <c r="D550" s="4" t="s">
        <v>94</v>
      </c>
      <c r="E550" s="4" t="s">
        <v>5</v>
      </c>
      <c r="F550" s="4" t="s">
        <v>2626</v>
      </c>
      <c r="G550" s="4" t="s">
        <v>2625</v>
      </c>
      <c r="H550" s="6" t="s">
        <v>272</v>
      </c>
      <c r="I550" s="5" t="s">
        <v>2</v>
      </c>
      <c r="J550" s="5" t="s">
        <v>2533</v>
      </c>
      <c r="K550" s="5"/>
    </row>
    <row r="551" spans="2:11" ht="15.75" hidden="1" customHeight="1" x14ac:dyDescent="0.2">
      <c r="B551" s="4" t="s">
        <v>2523</v>
      </c>
      <c r="C551" s="5" t="s">
        <v>401</v>
      </c>
      <c r="D551" s="5" t="s">
        <v>71</v>
      </c>
      <c r="E551" s="5" t="s">
        <v>5</v>
      </c>
      <c r="F551" s="4" t="s">
        <v>2624</v>
      </c>
      <c r="G551" s="14" t="s">
        <v>11</v>
      </c>
      <c r="H551" s="6" t="s">
        <v>11</v>
      </c>
      <c r="I551" s="5" t="s">
        <v>2</v>
      </c>
      <c r="J551" s="5" t="s">
        <v>1121</v>
      </c>
      <c r="K551" s="5" t="s">
        <v>0</v>
      </c>
    </row>
    <row r="552" spans="2:11" ht="15.75" hidden="1" customHeight="1" x14ac:dyDescent="0.2">
      <c r="B552" s="4" t="s">
        <v>2523</v>
      </c>
      <c r="C552" s="5" t="s">
        <v>183</v>
      </c>
      <c r="D552" s="5" t="s">
        <v>150</v>
      </c>
      <c r="E552" s="5" t="s">
        <v>5</v>
      </c>
      <c r="F552" s="4" t="s">
        <v>2623</v>
      </c>
      <c r="G552" s="14" t="s">
        <v>11</v>
      </c>
      <c r="H552" s="6" t="s">
        <v>11</v>
      </c>
      <c r="I552" s="5" t="s">
        <v>2</v>
      </c>
      <c r="J552" s="5" t="s">
        <v>1121</v>
      </c>
      <c r="K552" s="5" t="s">
        <v>0</v>
      </c>
    </row>
    <row r="553" spans="2:11" ht="15.75" hidden="1" customHeight="1" x14ac:dyDescent="0.2">
      <c r="B553" s="4" t="s">
        <v>2523</v>
      </c>
      <c r="C553" s="4"/>
      <c r="D553" s="4" t="s">
        <v>236</v>
      </c>
      <c r="E553" s="5" t="s">
        <v>5</v>
      </c>
      <c r="F553" s="4" t="s">
        <v>2622</v>
      </c>
      <c r="G553" s="14" t="s">
        <v>348</v>
      </c>
      <c r="H553" s="6" t="s">
        <v>11</v>
      </c>
      <c r="I553" s="5" t="s">
        <v>2</v>
      </c>
      <c r="J553" s="5" t="s">
        <v>1121</v>
      </c>
      <c r="K553" s="5" t="s">
        <v>0</v>
      </c>
    </row>
    <row r="554" spans="2:11" ht="15.75" hidden="1" customHeight="1" x14ac:dyDescent="0.2">
      <c r="B554" s="4" t="s">
        <v>2523</v>
      </c>
      <c r="C554" s="4" t="s">
        <v>358</v>
      </c>
      <c r="D554" s="4" t="s">
        <v>42</v>
      </c>
      <c r="E554" s="4" t="s">
        <v>23</v>
      </c>
      <c r="F554" s="4" t="s">
        <v>2621</v>
      </c>
      <c r="G554" s="14" t="s">
        <v>3</v>
      </c>
      <c r="H554" s="6" t="s">
        <v>3</v>
      </c>
      <c r="I554" s="5" t="s">
        <v>2</v>
      </c>
      <c r="J554" s="5" t="s">
        <v>2533</v>
      </c>
      <c r="K554" s="5" t="s">
        <v>0</v>
      </c>
    </row>
    <row r="555" spans="2:11" ht="15.75" hidden="1" customHeight="1" x14ac:dyDescent="0.2">
      <c r="B555" s="4" t="s">
        <v>2523</v>
      </c>
      <c r="C555" s="4" t="s">
        <v>566</v>
      </c>
      <c r="D555" s="4" t="s">
        <v>42</v>
      </c>
      <c r="E555" s="4" t="s">
        <v>5</v>
      </c>
      <c r="F555" s="4" t="s">
        <v>2620</v>
      </c>
      <c r="G555" s="14" t="s">
        <v>11</v>
      </c>
      <c r="H555" s="6" t="s">
        <v>11</v>
      </c>
      <c r="I555" s="5" t="s">
        <v>2</v>
      </c>
      <c r="J555" s="5" t="s">
        <v>2533</v>
      </c>
      <c r="K555" s="5" t="s">
        <v>0</v>
      </c>
    </row>
    <row r="556" spans="2:11" ht="15.75" hidden="1" customHeight="1" x14ac:dyDescent="0.2">
      <c r="B556" s="4" t="s">
        <v>2523</v>
      </c>
      <c r="C556" s="4" t="s">
        <v>1935</v>
      </c>
      <c r="D556" s="4" t="s">
        <v>236</v>
      </c>
      <c r="E556" s="5" t="s">
        <v>5</v>
      </c>
      <c r="F556" s="4" t="s">
        <v>2619</v>
      </c>
      <c r="G556" s="14" t="s">
        <v>348</v>
      </c>
      <c r="H556" s="6" t="s">
        <v>11</v>
      </c>
      <c r="I556" s="5" t="s">
        <v>2</v>
      </c>
      <c r="J556" s="5" t="s">
        <v>1121</v>
      </c>
      <c r="K556" s="5" t="s">
        <v>0</v>
      </c>
    </row>
    <row r="557" spans="2:11" ht="15.75" hidden="1" customHeight="1" x14ac:dyDescent="0.2">
      <c r="B557" s="4" t="s">
        <v>2523</v>
      </c>
      <c r="C557" s="5" t="s">
        <v>401</v>
      </c>
      <c r="D557" s="5" t="s">
        <v>71</v>
      </c>
      <c r="E557" s="5" t="s">
        <v>5</v>
      </c>
      <c r="F557" s="4" t="s">
        <v>2618</v>
      </c>
      <c r="G557" s="14" t="s">
        <v>11</v>
      </c>
      <c r="H557" s="6" t="s">
        <v>11</v>
      </c>
      <c r="I557" s="5" t="s">
        <v>2</v>
      </c>
      <c r="J557" s="5" t="s">
        <v>1121</v>
      </c>
      <c r="K557" s="5" t="s">
        <v>0</v>
      </c>
    </row>
    <row r="558" spans="2:11" ht="15.75" hidden="1" customHeight="1" x14ac:dyDescent="0.2">
      <c r="B558" s="4" t="s">
        <v>2523</v>
      </c>
      <c r="C558" s="4" t="s">
        <v>104</v>
      </c>
      <c r="D558" s="4" t="s">
        <v>18</v>
      </c>
      <c r="E558" s="4" t="s">
        <v>5</v>
      </c>
      <c r="F558" s="4" t="s">
        <v>2617</v>
      </c>
      <c r="G558" s="20" t="s">
        <v>11</v>
      </c>
      <c r="H558" s="6" t="s">
        <v>11</v>
      </c>
      <c r="I558" s="5" t="s">
        <v>2</v>
      </c>
      <c r="J558" s="5" t="s">
        <v>2533</v>
      </c>
      <c r="K558" s="5" t="s">
        <v>0</v>
      </c>
    </row>
    <row r="559" spans="2:11" ht="15.75" hidden="1" customHeight="1" x14ac:dyDescent="0.2">
      <c r="B559" s="4" t="s">
        <v>2523</v>
      </c>
      <c r="C559" s="5" t="s">
        <v>150</v>
      </c>
      <c r="D559" s="5" t="s">
        <v>150</v>
      </c>
      <c r="E559" s="5" t="s">
        <v>5</v>
      </c>
      <c r="F559" s="4" t="s">
        <v>2616</v>
      </c>
      <c r="G559" s="14" t="s">
        <v>11</v>
      </c>
      <c r="H559" s="6" t="s">
        <v>11</v>
      </c>
      <c r="I559" s="5" t="s">
        <v>2</v>
      </c>
      <c r="J559" s="5" t="s">
        <v>1121</v>
      </c>
      <c r="K559" s="5" t="s">
        <v>0</v>
      </c>
    </row>
    <row r="560" spans="2:11" ht="15.75" hidden="1" customHeight="1" x14ac:dyDescent="0.2">
      <c r="B560" s="4" t="s">
        <v>2523</v>
      </c>
      <c r="C560" s="5" t="s">
        <v>150</v>
      </c>
      <c r="D560" s="5" t="s">
        <v>150</v>
      </c>
      <c r="E560" s="5" t="s">
        <v>5</v>
      </c>
      <c r="F560" s="4" t="s">
        <v>2615</v>
      </c>
      <c r="G560" s="14" t="s">
        <v>11</v>
      </c>
      <c r="H560" s="6" t="s">
        <v>11</v>
      </c>
      <c r="I560" s="5" t="s">
        <v>2</v>
      </c>
      <c r="J560" s="5" t="s">
        <v>1121</v>
      </c>
      <c r="K560" s="5" t="s">
        <v>0</v>
      </c>
    </row>
    <row r="561" spans="2:11" ht="15.75" hidden="1" customHeight="1" x14ac:dyDescent="0.2">
      <c r="B561" s="4" t="s">
        <v>2523</v>
      </c>
      <c r="C561" s="4"/>
      <c r="D561" s="4" t="s">
        <v>236</v>
      </c>
      <c r="E561" s="4" t="s">
        <v>159</v>
      </c>
      <c r="F561" s="4" t="s">
        <v>2614</v>
      </c>
      <c r="G561" s="20" t="s">
        <v>348</v>
      </c>
      <c r="H561" s="6" t="s">
        <v>11</v>
      </c>
      <c r="I561" s="5" t="s">
        <v>2</v>
      </c>
      <c r="J561" s="5" t="s">
        <v>2580</v>
      </c>
      <c r="K561" s="5" t="s">
        <v>0</v>
      </c>
    </row>
    <row r="562" spans="2:11" ht="15.75" hidden="1" customHeight="1" x14ac:dyDescent="0.2">
      <c r="B562" s="4" t="s">
        <v>2523</v>
      </c>
      <c r="C562" s="4" t="s">
        <v>287</v>
      </c>
      <c r="D562" s="4" t="s">
        <v>236</v>
      </c>
      <c r="E562" s="5" t="s">
        <v>5</v>
      </c>
      <c r="F562" s="4" t="s">
        <v>2613</v>
      </c>
      <c r="G562" s="14" t="s">
        <v>348</v>
      </c>
      <c r="H562" s="6" t="s">
        <v>11</v>
      </c>
      <c r="I562" s="5" t="s">
        <v>2</v>
      </c>
      <c r="J562" s="5" t="s">
        <v>1121</v>
      </c>
      <c r="K562" s="5" t="s">
        <v>0</v>
      </c>
    </row>
    <row r="563" spans="2:11" ht="15.75" hidden="1" customHeight="1" x14ac:dyDescent="0.2">
      <c r="B563" s="4" t="s">
        <v>2523</v>
      </c>
      <c r="C563" s="5" t="s">
        <v>150</v>
      </c>
      <c r="D563" s="5" t="s">
        <v>150</v>
      </c>
      <c r="E563" s="5" t="s">
        <v>159</v>
      </c>
      <c r="F563" s="4" t="s">
        <v>2612</v>
      </c>
      <c r="G563" s="14" t="s">
        <v>11</v>
      </c>
      <c r="H563" s="6" t="s">
        <v>11</v>
      </c>
      <c r="I563" s="5" t="s">
        <v>2</v>
      </c>
      <c r="J563" s="5" t="s">
        <v>1121</v>
      </c>
      <c r="K563" s="5" t="s">
        <v>0</v>
      </c>
    </row>
    <row r="564" spans="2:11" ht="15.75" hidden="1" customHeight="1" x14ac:dyDescent="0.2">
      <c r="B564" s="4" t="s">
        <v>2523</v>
      </c>
      <c r="C564" s="4" t="s">
        <v>358</v>
      </c>
      <c r="D564" s="5" t="s">
        <v>42</v>
      </c>
      <c r="E564" s="5" t="s">
        <v>5</v>
      </c>
      <c r="F564" s="4" t="s">
        <v>2611</v>
      </c>
      <c r="G564" s="14" t="s">
        <v>11</v>
      </c>
      <c r="H564" s="6" t="s">
        <v>11</v>
      </c>
      <c r="I564" s="5" t="s">
        <v>2</v>
      </c>
      <c r="J564" s="5" t="s">
        <v>1121</v>
      </c>
      <c r="K564" s="5" t="s">
        <v>0</v>
      </c>
    </row>
    <row r="565" spans="2:11" ht="15.75" hidden="1" customHeight="1" x14ac:dyDescent="0.2">
      <c r="B565" s="4" t="s">
        <v>2523</v>
      </c>
      <c r="C565" s="5" t="s">
        <v>98</v>
      </c>
      <c r="D565" s="5" t="s">
        <v>97</v>
      </c>
      <c r="E565" s="5" t="s">
        <v>5</v>
      </c>
      <c r="F565" s="4" t="s">
        <v>2610</v>
      </c>
      <c r="G565" s="14" t="s">
        <v>11</v>
      </c>
      <c r="H565" s="6" t="s">
        <v>11</v>
      </c>
      <c r="I565" s="5" t="s">
        <v>2</v>
      </c>
      <c r="J565" s="5" t="s">
        <v>1121</v>
      </c>
      <c r="K565" s="5" t="s">
        <v>0</v>
      </c>
    </row>
    <row r="566" spans="2:11" ht="15.75" hidden="1" customHeight="1" x14ac:dyDescent="0.2">
      <c r="B566" s="4" t="s">
        <v>2523</v>
      </c>
      <c r="C566" s="5" t="s">
        <v>150</v>
      </c>
      <c r="D566" s="5" t="s">
        <v>150</v>
      </c>
      <c r="E566" s="5" t="s">
        <v>5</v>
      </c>
      <c r="F566" s="4" t="s">
        <v>2609</v>
      </c>
      <c r="G566" s="14" t="s">
        <v>11</v>
      </c>
      <c r="H566" s="6" t="s">
        <v>11</v>
      </c>
      <c r="I566" s="5" t="s">
        <v>2</v>
      </c>
      <c r="J566" s="5" t="s">
        <v>1121</v>
      </c>
      <c r="K566" s="5" t="s">
        <v>0</v>
      </c>
    </row>
    <row r="567" spans="2:11" ht="15.75" hidden="1" customHeight="1" x14ac:dyDescent="0.2">
      <c r="B567" s="4" t="s">
        <v>2523</v>
      </c>
      <c r="C567" s="4" t="s">
        <v>358</v>
      </c>
      <c r="D567" s="5" t="s">
        <v>42</v>
      </c>
      <c r="E567" s="5" t="s">
        <v>5</v>
      </c>
      <c r="F567" s="4" t="s">
        <v>2608</v>
      </c>
      <c r="G567" s="14" t="s">
        <v>11</v>
      </c>
      <c r="H567" s="6" t="s">
        <v>11</v>
      </c>
      <c r="I567" s="5" t="s">
        <v>2</v>
      </c>
      <c r="J567" s="5" t="s">
        <v>1121</v>
      </c>
      <c r="K567" s="5" t="s">
        <v>0</v>
      </c>
    </row>
    <row r="568" spans="2:11" ht="15.75" hidden="1" customHeight="1" x14ac:dyDescent="0.2">
      <c r="B568" s="4" t="s">
        <v>2523</v>
      </c>
      <c r="C568" s="4" t="s">
        <v>271</v>
      </c>
      <c r="D568" s="5" t="s">
        <v>94</v>
      </c>
      <c r="E568" s="5" t="s">
        <v>5</v>
      </c>
      <c r="F568" s="4" t="s">
        <v>2607</v>
      </c>
      <c r="G568" s="14" t="s">
        <v>11</v>
      </c>
      <c r="H568" s="6" t="s">
        <v>11</v>
      </c>
      <c r="I568" s="5" t="s">
        <v>2</v>
      </c>
      <c r="J568" s="5" t="s">
        <v>1121</v>
      </c>
      <c r="K568" s="5" t="s">
        <v>0</v>
      </c>
    </row>
    <row r="569" spans="2:11" ht="15.75" hidden="1" customHeight="1" x14ac:dyDescent="0.2">
      <c r="B569" s="4" t="s">
        <v>2523</v>
      </c>
      <c r="C569" s="4" t="s">
        <v>228</v>
      </c>
      <c r="D569" s="4" t="s">
        <v>36</v>
      </c>
      <c r="E569" s="4" t="s">
        <v>55</v>
      </c>
      <c r="F569" s="4" t="s">
        <v>2606</v>
      </c>
      <c r="G569" s="20" t="s">
        <v>3</v>
      </c>
      <c r="H569" s="6" t="s">
        <v>3</v>
      </c>
      <c r="I569" s="5" t="s">
        <v>2</v>
      </c>
      <c r="J569" s="5" t="s">
        <v>2533</v>
      </c>
      <c r="K569" s="5" t="s">
        <v>204</v>
      </c>
    </row>
    <row r="570" spans="2:11" ht="15.75" hidden="1" customHeight="1" x14ac:dyDescent="0.2">
      <c r="B570" s="4" t="s">
        <v>2523</v>
      </c>
      <c r="C570" s="4" t="s">
        <v>566</v>
      </c>
      <c r="D570" s="5" t="s">
        <v>42</v>
      </c>
      <c r="E570" s="5" t="s">
        <v>5</v>
      </c>
      <c r="F570" s="4" t="s">
        <v>2605</v>
      </c>
      <c r="G570" s="14" t="s">
        <v>11</v>
      </c>
      <c r="H570" s="6" t="s">
        <v>11</v>
      </c>
      <c r="I570" s="5" t="s">
        <v>2</v>
      </c>
      <c r="J570" s="5" t="s">
        <v>1121</v>
      </c>
      <c r="K570" s="5" t="s">
        <v>0</v>
      </c>
    </row>
    <row r="571" spans="2:11" ht="15.75" hidden="1" customHeight="1" x14ac:dyDescent="0.2">
      <c r="B571" s="4" t="s">
        <v>2523</v>
      </c>
      <c r="C571" s="5" t="s">
        <v>150</v>
      </c>
      <c r="D571" s="5" t="s">
        <v>150</v>
      </c>
      <c r="E571" s="5" t="s">
        <v>5</v>
      </c>
      <c r="F571" s="4" t="s">
        <v>2604</v>
      </c>
      <c r="G571" s="14" t="s">
        <v>11</v>
      </c>
      <c r="H571" s="6" t="s">
        <v>11</v>
      </c>
      <c r="I571" s="5" t="s">
        <v>2</v>
      </c>
      <c r="J571" s="5" t="s">
        <v>1121</v>
      </c>
      <c r="K571" s="5" t="s">
        <v>0</v>
      </c>
    </row>
    <row r="572" spans="2:11" ht="15.75" hidden="1" customHeight="1" x14ac:dyDescent="0.2">
      <c r="B572" s="4" t="s">
        <v>2523</v>
      </c>
      <c r="C572" s="4" t="s">
        <v>228</v>
      </c>
      <c r="D572" s="4" t="s">
        <v>36</v>
      </c>
      <c r="E572" s="5" t="s">
        <v>5</v>
      </c>
      <c r="F572" s="4" t="s">
        <v>2603</v>
      </c>
      <c r="G572" s="4" t="s">
        <v>273</v>
      </c>
      <c r="H572" s="6" t="s">
        <v>272</v>
      </c>
      <c r="I572" s="5" t="s">
        <v>2</v>
      </c>
      <c r="J572" s="5" t="s">
        <v>1121</v>
      </c>
      <c r="K572" s="5" t="s">
        <v>0</v>
      </c>
    </row>
    <row r="573" spans="2:11" ht="15.75" hidden="1" customHeight="1" x14ac:dyDescent="0.2">
      <c r="B573" s="4" t="s">
        <v>2523</v>
      </c>
      <c r="C573" s="4" t="s">
        <v>228</v>
      </c>
      <c r="D573" s="4" t="s">
        <v>36</v>
      </c>
      <c r="E573" s="5" t="s">
        <v>5</v>
      </c>
      <c r="F573" s="4" t="s">
        <v>2602</v>
      </c>
      <c r="G573" s="4" t="s">
        <v>273</v>
      </c>
      <c r="H573" s="6" t="s">
        <v>272</v>
      </c>
      <c r="I573" s="5" t="s">
        <v>2</v>
      </c>
      <c r="J573" s="5" t="s">
        <v>1121</v>
      </c>
      <c r="K573" s="5" t="s">
        <v>0</v>
      </c>
    </row>
    <row r="574" spans="2:11" ht="15.75" hidden="1" customHeight="1" x14ac:dyDescent="0.2">
      <c r="B574" s="4" t="s">
        <v>2523</v>
      </c>
      <c r="C574" s="4" t="s">
        <v>228</v>
      </c>
      <c r="D574" s="4" t="s">
        <v>36</v>
      </c>
      <c r="E574" s="4" t="s">
        <v>5</v>
      </c>
      <c r="F574" s="4" t="s">
        <v>2601</v>
      </c>
      <c r="G574" s="4" t="s">
        <v>273</v>
      </c>
      <c r="H574" s="6" t="s">
        <v>272</v>
      </c>
      <c r="I574" s="5" t="s">
        <v>2</v>
      </c>
      <c r="J574" s="5" t="s">
        <v>1121</v>
      </c>
      <c r="K574" s="5" t="s">
        <v>0</v>
      </c>
    </row>
    <row r="575" spans="2:11" ht="15.75" hidden="1" customHeight="1" x14ac:dyDescent="0.2">
      <c r="B575" s="4" t="s">
        <v>2523</v>
      </c>
      <c r="C575" s="5" t="s">
        <v>2249</v>
      </c>
      <c r="D575" s="5" t="s">
        <v>94</v>
      </c>
      <c r="E575" s="5" t="s">
        <v>5</v>
      </c>
      <c r="F575" s="4" t="s">
        <v>2600</v>
      </c>
      <c r="G575" s="14" t="s">
        <v>11</v>
      </c>
      <c r="H575" s="6" t="s">
        <v>11</v>
      </c>
      <c r="I575" s="5" t="s">
        <v>2</v>
      </c>
      <c r="J575" s="5" t="s">
        <v>1121</v>
      </c>
      <c r="K575" s="5" t="s">
        <v>0</v>
      </c>
    </row>
    <row r="576" spans="2:11" ht="15.75" hidden="1" customHeight="1" x14ac:dyDescent="0.2">
      <c r="B576" s="4" t="s">
        <v>2523</v>
      </c>
      <c r="C576" s="4" t="s">
        <v>271</v>
      </c>
      <c r="D576" s="5" t="s">
        <v>94</v>
      </c>
      <c r="E576" s="5" t="s">
        <v>5</v>
      </c>
      <c r="F576" s="4" t="s">
        <v>2599</v>
      </c>
      <c r="G576" s="14" t="s">
        <v>11</v>
      </c>
      <c r="H576" s="6" t="s">
        <v>11</v>
      </c>
      <c r="I576" s="5" t="s">
        <v>2</v>
      </c>
      <c r="J576" s="5" t="s">
        <v>1121</v>
      </c>
      <c r="K576" s="5" t="s">
        <v>0</v>
      </c>
    </row>
    <row r="577" spans="2:11" ht="15.75" hidden="1" customHeight="1" x14ac:dyDescent="0.2">
      <c r="B577" s="4" t="s">
        <v>2523</v>
      </c>
      <c r="C577" s="5" t="s">
        <v>150</v>
      </c>
      <c r="D577" s="5" t="s">
        <v>150</v>
      </c>
      <c r="E577" s="5" t="s">
        <v>5</v>
      </c>
      <c r="F577" s="4" t="s">
        <v>2598</v>
      </c>
      <c r="G577" s="14" t="s">
        <v>11</v>
      </c>
      <c r="H577" s="6" t="s">
        <v>11</v>
      </c>
      <c r="I577" s="5" t="s">
        <v>2</v>
      </c>
      <c r="J577" s="5" t="s">
        <v>1121</v>
      </c>
      <c r="K577" s="5" t="s">
        <v>0</v>
      </c>
    </row>
    <row r="578" spans="2:11" ht="15.75" hidden="1" customHeight="1" x14ac:dyDescent="0.2">
      <c r="B578" s="4" t="s">
        <v>2523</v>
      </c>
      <c r="C578" s="5" t="s">
        <v>150</v>
      </c>
      <c r="D578" s="5" t="s">
        <v>150</v>
      </c>
      <c r="E578" s="5" t="s">
        <v>5</v>
      </c>
      <c r="F578" s="4" t="s">
        <v>2597</v>
      </c>
      <c r="G578" s="14" t="s">
        <v>11</v>
      </c>
      <c r="H578" s="6" t="s">
        <v>11</v>
      </c>
      <c r="I578" s="5" t="s">
        <v>2</v>
      </c>
      <c r="J578" s="5" t="s">
        <v>1121</v>
      </c>
      <c r="K578" s="5" t="s">
        <v>0</v>
      </c>
    </row>
    <row r="579" spans="2:11" ht="15.75" hidden="1" customHeight="1" x14ac:dyDescent="0.2">
      <c r="B579" s="4" t="s">
        <v>2523</v>
      </c>
      <c r="C579" s="5" t="s">
        <v>150</v>
      </c>
      <c r="D579" s="5" t="s">
        <v>150</v>
      </c>
      <c r="E579" s="5" t="s">
        <v>5</v>
      </c>
      <c r="F579" s="4" t="s">
        <v>2596</v>
      </c>
      <c r="G579" s="14" t="s">
        <v>11</v>
      </c>
      <c r="H579" s="6" t="s">
        <v>11</v>
      </c>
      <c r="I579" s="5" t="s">
        <v>2</v>
      </c>
      <c r="J579" s="5" t="s">
        <v>1121</v>
      </c>
      <c r="K579" s="5" t="s">
        <v>0</v>
      </c>
    </row>
    <row r="580" spans="2:11" ht="15.75" hidden="1" customHeight="1" x14ac:dyDescent="0.2">
      <c r="B580" s="4" t="s">
        <v>2523</v>
      </c>
      <c r="C580" s="4" t="s">
        <v>228</v>
      </c>
      <c r="D580" s="4" t="s">
        <v>36</v>
      </c>
      <c r="E580" s="4" t="s">
        <v>5</v>
      </c>
      <c r="F580" s="4" t="s">
        <v>2595</v>
      </c>
      <c r="G580" s="4" t="s">
        <v>329</v>
      </c>
      <c r="H580" s="6" t="s">
        <v>272</v>
      </c>
      <c r="I580" s="5" t="s">
        <v>2</v>
      </c>
      <c r="J580" s="5" t="s">
        <v>2533</v>
      </c>
      <c r="K580" s="5" t="s">
        <v>75</v>
      </c>
    </row>
    <row r="581" spans="2:11" ht="15.75" hidden="1" customHeight="1" x14ac:dyDescent="0.2">
      <c r="B581" s="4" t="s">
        <v>2523</v>
      </c>
      <c r="C581" s="5" t="s">
        <v>150</v>
      </c>
      <c r="D581" s="5" t="s">
        <v>150</v>
      </c>
      <c r="E581" s="5" t="s">
        <v>5</v>
      </c>
      <c r="F581" s="4" t="s">
        <v>2594</v>
      </c>
      <c r="G581" s="14" t="s">
        <v>207</v>
      </c>
      <c r="H581" s="6" t="s">
        <v>11</v>
      </c>
      <c r="I581" s="5" t="s">
        <v>2</v>
      </c>
      <c r="J581" s="5" t="s">
        <v>1121</v>
      </c>
      <c r="K581" s="5" t="s">
        <v>0</v>
      </c>
    </row>
    <row r="582" spans="2:11" ht="15.75" hidden="1" customHeight="1" x14ac:dyDescent="0.2">
      <c r="B582" s="4" t="s">
        <v>2523</v>
      </c>
      <c r="C582" s="4" t="s">
        <v>358</v>
      </c>
      <c r="D582" s="5" t="s">
        <v>42</v>
      </c>
      <c r="E582" s="5" t="s">
        <v>5</v>
      </c>
      <c r="F582" s="4" t="s">
        <v>2593</v>
      </c>
      <c r="G582" s="14" t="s">
        <v>11</v>
      </c>
      <c r="H582" s="6" t="s">
        <v>11</v>
      </c>
      <c r="I582" s="5" t="s">
        <v>2</v>
      </c>
      <c r="J582" s="5" t="s">
        <v>1121</v>
      </c>
      <c r="K582" s="5" t="s">
        <v>0</v>
      </c>
    </row>
    <row r="583" spans="2:11" ht="15.75" hidden="1" customHeight="1" x14ac:dyDescent="0.2">
      <c r="B583" s="4" t="s">
        <v>2523</v>
      </c>
      <c r="C583" s="4" t="s">
        <v>287</v>
      </c>
      <c r="D583" s="4" t="s">
        <v>236</v>
      </c>
      <c r="E583" s="4" t="s">
        <v>5</v>
      </c>
      <c r="F583" s="4" t="s">
        <v>2592</v>
      </c>
      <c r="G583" s="14" t="s">
        <v>348</v>
      </c>
      <c r="H583" s="6" t="s">
        <v>11</v>
      </c>
      <c r="I583" s="5" t="s">
        <v>2</v>
      </c>
      <c r="J583" s="5" t="s">
        <v>1121</v>
      </c>
      <c r="K583" s="5" t="s">
        <v>0</v>
      </c>
    </row>
    <row r="584" spans="2:11" ht="15.75" hidden="1" customHeight="1" x14ac:dyDescent="0.2">
      <c r="B584" s="4" t="s">
        <v>2523</v>
      </c>
      <c r="C584" s="4" t="s">
        <v>278</v>
      </c>
      <c r="D584" s="4" t="s">
        <v>236</v>
      </c>
      <c r="E584" s="4" t="s">
        <v>5</v>
      </c>
      <c r="F584" s="4" t="s">
        <v>2591</v>
      </c>
      <c r="G584" s="14" t="s">
        <v>348</v>
      </c>
      <c r="H584" s="6" t="s">
        <v>11</v>
      </c>
      <c r="I584" s="5" t="s">
        <v>2</v>
      </c>
      <c r="J584" s="5" t="s">
        <v>1121</v>
      </c>
      <c r="K584" s="5" t="s">
        <v>0</v>
      </c>
    </row>
    <row r="585" spans="2:11" ht="15.75" hidden="1" customHeight="1" x14ac:dyDescent="0.2">
      <c r="B585" s="4" t="s">
        <v>2523</v>
      </c>
      <c r="C585" s="5" t="s">
        <v>2590</v>
      </c>
      <c r="D585" s="5" t="s">
        <v>97</v>
      </c>
      <c r="E585" s="5" t="s">
        <v>5</v>
      </c>
      <c r="F585" s="4" t="s">
        <v>2589</v>
      </c>
      <c r="G585" s="14" t="s">
        <v>11</v>
      </c>
      <c r="H585" s="6" t="s">
        <v>11</v>
      </c>
      <c r="I585" s="5" t="s">
        <v>2</v>
      </c>
      <c r="J585" s="5" t="s">
        <v>1121</v>
      </c>
      <c r="K585" s="5" t="s">
        <v>0</v>
      </c>
    </row>
    <row r="586" spans="2:11" ht="15.75" hidden="1" customHeight="1" x14ac:dyDescent="0.2">
      <c r="B586" s="4" t="s">
        <v>2523</v>
      </c>
      <c r="C586" s="5"/>
      <c r="D586" s="5" t="s">
        <v>18</v>
      </c>
      <c r="E586" s="5" t="s">
        <v>5</v>
      </c>
      <c r="F586" s="4" t="s">
        <v>2588</v>
      </c>
      <c r="G586" s="14" t="s">
        <v>11</v>
      </c>
      <c r="H586" s="6" t="s">
        <v>11</v>
      </c>
      <c r="I586" s="5" t="s">
        <v>2</v>
      </c>
      <c r="J586" s="5" t="s">
        <v>1121</v>
      </c>
      <c r="K586" s="5" t="s">
        <v>0</v>
      </c>
    </row>
    <row r="587" spans="2:11" ht="15.75" hidden="1" customHeight="1" x14ac:dyDescent="0.2">
      <c r="B587" s="4" t="s">
        <v>2523</v>
      </c>
      <c r="C587" s="5" t="s">
        <v>150</v>
      </c>
      <c r="D587" s="5" t="s">
        <v>150</v>
      </c>
      <c r="E587" s="5" t="s">
        <v>5</v>
      </c>
      <c r="F587" s="4" t="s">
        <v>2587</v>
      </c>
      <c r="G587" s="14" t="s">
        <v>11</v>
      </c>
      <c r="H587" s="6" t="s">
        <v>11</v>
      </c>
      <c r="I587" s="5" t="s">
        <v>2</v>
      </c>
      <c r="J587" s="5" t="s">
        <v>1121</v>
      </c>
      <c r="K587" s="5" t="s">
        <v>0</v>
      </c>
    </row>
    <row r="588" spans="2:11" ht="15.75" hidden="1" customHeight="1" x14ac:dyDescent="0.2">
      <c r="B588" s="4" t="s">
        <v>2523</v>
      </c>
      <c r="C588" s="5" t="s">
        <v>150</v>
      </c>
      <c r="D588" s="5" t="s">
        <v>150</v>
      </c>
      <c r="E588" s="5" t="s">
        <v>5</v>
      </c>
      <c r="F588" s="4" t="s">
        <v>2586</v>
      </c>
      <c r="G588" s="14" t="s">
        <v>11</v>
      </c>
      <c r="H588" s="6" t="s">
        <v>11</v>
      </c>
      <c r="I588" s="5" t="s">
        <v>2</v>
      </c>
      <c r="J588" s="5" t="s">
        <v>2585</v>
      </c>
      <c r="K588" s="5" t="s">
        <v>0</v>
      </c>
    </row>
    <row r="589" spans="2:11" ht="15.75" hidden="1" customHeight="1" x14ac:dyDescent="0.2">
      <c r="B589" s="4" t="s">
        <v>2523</v>
      </c>
      <c r="C589" s="4" t="s">
        <v>271</v>
      </c>
      <c r="D589" s="5" t="s">
        <v>94</v>
      </c>
      <c r="E589" s="5" t="s">
        <v>5</v>
      </c>
      <c r="F589" s="4" t="s">
        <v>2584</v>
      </c>
      <c r="G589" s="14" t="s">
        <v>11</v>
      </c>
      <c r="H589" s="6" t="s">
        <v>11</v>
      </c>
      <c r="I589" s="5" t="s">
        <v>2</v>
      </c>
      <c r="J589" s="5" t="s">
        <v>1121</v>
      </c>
      <c r="K589" s="5" t="s">
        <v>0</v>
      </c>
    </row>
    <row r="590" spans="2:11" ht="15.75" hidden="1" customHeight="1" x14ac:dyDescent="0.2">
      <c r="B590" s="4" t="s">
        <v>2523</v>
      </c>
      <c r="C590" s="4" t="s">
        <v>271</v>
      </c>
      <c r="D590" s="5" t="s">
        <v>94</v>
      </c>
      <c r="E590" s="5" t="s">
        <v>5</v>
      </c>
      <c r="F590" s="4" t="s">
        <v>2583</v>
      </c>
      <c r="G590" s="14" t="s">
        <v>11</v>
      </c>
      <c r="H590" s="6" t="s">
        <v>11</v>
      </c>
      <c r="I590" s="5" t="s">
        <v>2</v>
      </c>
      <c r="J590" s="5" t="s">
        <v>1121</v>
      </c>
      <c r="K590" s="5" t="s">
        <v>0</v>
      </c>
    </row>
    <row r="591" spans="2:11" ht="15.75" hidden="1" customHeight="1" x14ac:dyDescent="0.2">
      <c r="B591" s="4" t="s">
        <v>2523</v>
      </c>
      <c r="C591" s="5" t="s">
        <v>150</v>
      </c>
      <c r="D591" s="5" t="s">
        <v>150</v>
      </c>
      <c r="E591" s="5" t="s">
        <v>5</v>
      </c>
      <c r="F591" s="4" t="s">
        <v>2582</v>
      </c>
      <c r="G591" s="14" t="s">
        <v>11</v>
      </c>
      <c r="H591" s="6" t="s">
        <v>11</v>
      </c>
      <c r="I591" s="5" t="s">
        <v>2</v>
      </c>
      <c r="J591" s="5" t="s">
        <v>1121</v>
      </c>
      <c r="K591" s="5" t="s">
        <v>0</v>
      </c>
    </row>
    <row r="592" spans="2:11" ht="15.75" hidden="1" customHeight="1" x14ac:dyDescent="0.2">
      <c r="B592" s="4" t="s">
        <v>2523</v>
      </c>
      <c r="C592" s="4" t="s">
        <v>104</v>
      </c>
      <c r="D592" s="4" t="s">
        <v>18</v>
      </c>
      <c r="E592" s="4" t="s">
        <v>5</v>
      </c>
      <c r="F592" s="4" t="s">
        <v>2581</v>
      </c>
      <c r="G592" s="14" t="s">
        <v>11</v>
      </c>
      <c r="H592" s="6" t="s">
        <v>11</v>
      </c>
      <c r="I592" s="5" t="s">
        <v>2</v>
      </c>
      <c r="J592" s="5" t="s">
        <v>2580</v>
      </c>
      <c r="K592" s="5" t="s">
        <v>0</v>
      </c>
    </row>
    <row r="593" spans="2:11" ht="15.75" hidden="1" customHeight="1" x14ac:dyDescent="0.2">
      <c r="B593" s="4" t="s">
        <v>2523</v>
      </c>
      <c r="C593" s="5" t="s">
        <v>150</v>
      </c>
      <c r="D593" s="5" t="s">
        <v>150</v>
      </c>
      <c r="E593" s="5" t="s">
        <v>5</v>
      </c>
      <c r="F593" s="4" t="s">
        <v>2579</v>
      </c>
      <c r="G593" s="14" t="s">
        <v>11</v>
      </c>
      <c r="H593" s="6" t="s">
        <v>11</v>
      </c>
      <c r="I593" s="5" t="s">
        <v>2</v>
      </c>
      <c r="J593" s="5" t="s">
        <v>1121</v>
      </c>
      <c r="K593" s="5" t="s">
        <v>75</v>
      </c>
    </row>
    <row r="594" spans="2:11" ht="15.75" hidden="1" customHeight="1" x14ac:dyDescent="0.2">
      <c r="B594" s="4" t="s">
        <v>2523</v>
      </c>
      <c r="C594" s="5" t="s">
        <v>150</v>
      </c>
      <c r="D594" s="5" t="s">
        <v>150</v>
      </c>
      <c r="E594" s="5" t="s">
        <v>5</v>
      </c>
      <c r="F594" s="4" t="s">
        <v>2578</v>
      </c>
      <c r="G594" s="14" t="s">
        <v>11</v>
      </c>
      <c r="H594" s="6" t="s">
        <v>11</v>
      </c>
      <c r="I594" s="5" t="s">
        <v>2</v>
      </c>
      <c r="J594" s="5" t="s">
        <v>1121</v>
      </c>
      <c r="K594" s="5" t="s">
        <v>0</v>
      </c>
    </row>
    <row r="595" spans="2:11" ht="15.75" hidden="1" customHeight="1" x14ac:dyDescent="0.2">
      <c r="B595" s="4" t="s">
        <v>2523</v>
      </c>
      <c r="C595" s="5" t="s">
        <v>150</v>
      </c>
      <c r="D595" s="5" t="s">
        <v>150</v>
      </c>
      <c r="E595" s="5" t="s">
        <v>5</v>
      </c>
      <c r="F595" s="4" t="s">
        <v>2577</v>
      </c>
      <c r="G595" s="14" t="s">
        <v>11</v>
      </c>
      <c r="H595" s="6" t="s">
        <v>11</v>
      </c>
      <c r="I595" s="5" t="s">
        <v>2</v>
      </c>
      <c r="J595" s="5" t="s">
        <v>1121</v>
      </c>
      <c r="K595" s="5" t="s">
        <v>0</v>
      </c>
    </row>
    <row r="596" spans="2:11" ht="15.75" hidden="1" customHeight="1" x14ac:dyDescent="0.2">
      <c r="B596" s="4" t="s">
        <v>2523</v>
      </c>
      <c r="C596" s="4" t="s">
        <v>566</v>
      </c>
      <c r="D596" s="5" t="s">
        <v>42</v>
      </c>
      <c r="E596" s="4" t="s">
        <v>5</v>
      </c>
      <c r="F596" s="4" t="s">
        <v>2576</v>
      </c>
      <c r="G596" s="14" t="s">
        <v>3</v>
      </c>
      <c r="H596" s="6" t="s">
        <v>3</v>
      </c>
      <c r="I596" s="5" t="s">
        <v>2</v>
      </c>
      <c r="J596" s="5" t="s">
        <v>2533</v>
      </c>
      <c r="K596" s="5" t="s">
        <v>0</v>
      </c>
    </row>
    <row r="597" spans="2:11" ht="15.75" hidden="1" customHeight="1" x14ac:dyDescent="0.2">
      <c r="B597" s="4" t="s">
        <v>2523</v>
      </c>
      <c r="C597" s="5" t="s">
        <v>150</v>
      </c>
      <c r="D597" s="5" t="s">
        <v>150</v>
      </c>
      <c r="E597" s="5" t="s">
        <v>5</v>
      </c>
      <c r="F597" s="4" t="s">
        <v>2575</v>
      </c>
      <c r="G597" s="14" t="s">
        <v>11</v>
      </c>
      <c r="H597" s="6" t="s">
        <v>11</v>
      </c>
      <c r="I597" s="5" t="s">
        <v>2</v>
      </c>
      <c r="J597" s="5" t="s">
        <v>1121</v>
      </c>
      <c r="K597" s="5" t="s">
        <v>0</v>
      </c>
    </row>
    <row r="598" spans="2:11" ht="15.75" hidden="1" customHeight="1" x14ac:dyDescent="0.2">
      <c r="B598" s="4" t="s">
        <v>2523</v>
      </c>
      <c r="C598" s="4" t="s">
        <v>566</v>
      </c>
      <c r="D598" s="5" t="s">
        <v>42</v>
      </c>
      <c r="E598" s="5" t="s">
        <v>5</v>
      </c>
      <c r="F598" s="4" t="s">
        <v>2574</v>
      </c>
      <c r="G598" s="14" t="s">
        <v>11</v>
      </c>
      <c r="H598" s="6" t="s">
        <v>11</v>
      </c>
      <c r="I598" s="5" t="s">
        <v>2</v>
      </c>
      <c r="J598" s="5" t="s">
        <v>1121</v>
      </c>
      <c r="K598" s="5" t="s">
        <v>0</v>
      </c>
    </row>
    <row r="599" spans="2:11" ht="15.75" hidden="1" customHeight="1" x14ac:dyDescent="0.2">
      <c r="B599" s="4" t="s">
        <v>2523</v>
      </c>
      <c r="C599" s="5" t="s">
        <v>150</v>
      </c>
      <c r="D599" s="5" t="s">
        <v>150</v>
      </c>
      <c r="E599" s="5" t="s">
        <v>5</v>
      </c>
      <c r="F599" s="4" t="s">
        <v>2573</v>
      </c>
      <c r="G599" s="14" t="s">
        <v>11</v>
      </c>
      <c r="H599" s="6" t="s">
        <v>11</v>
      </c>
      <c r="I599" s="5" t="s">
        <v>2</v>
      </c>
      <c r="J599" s="5" t="s">
        <v>1121</v>
      </c>
      <c r="K599" s="5" t="s">
        <v>0</v>
      </c>
    </row>
    <row r="600" spans="2:11" ht="15.75" hidden="1" customHeight="1" x14ac:dyDescent="0.2">
      <c r="B600" s="4" t="s">
        <v>2523</v>
      </c>
      <c r="C600" s="4" t="s">
        <v>358</v>
      </c>
      <c r="D600" s="5" t="s">
        <v>42</v>
      </c>
      <c r="E600" s="5" t="s">
        <v>5</v>
      </c>
      <c r="F600" s="4" t="s">
        <v>2572</v>
      </c>
      <c r="G600" s="14" t="s">
        <v>11</v>
      </c>
      <c r="H600" s="6" t="s">
        <v>11</v>
      </c>
      <c r="I600" s="5" t="s">
        <v>2</v>
      </c>
      <c r="J600" s="5" t="s">
        <v>1121</v>
      </c>
      <c r="K600" s="5" t="s">
        <v>0</v>
      </c>
    </row>
    <row r="601" spans="2:11" ht="15.75" hidden="1" customHeight="1" x14ac:dyDescent="0.2">
      <c r="B601" s="4" t="s">
        <v>2523</v>
      </c>
      <c r="C601" s="5" t="s">
        <v>233</v>
      </c>
      <c r="D601" s="5" t="s">
        <v>232</v>
      </c>
      <c r="E601" s="5" t="s">
        <v>5</v>
      </c>
      <c r="F601" s="4" t="s">
        <v>2571</v>
      </c>
      <c r="G601" s="14" t="s">
        <v>11</v>
      </c>
      <c r="H601" s="6" t="s">
        <v>11</v>
      </c>
      <c r="I601" s="5" t="s">
        <v>2</v>
      </c>
      <c r="J601" s="5" t="s">
        <v>1121</v>
      </c>
      <c r="K601" s="5" t="s">
        <v>0</v>
      </c>
    </row>
    <row r="602" spans="2:11" ht="15.75" hidden="1" customHeight="1" x14ac:dyDescent="0.2">
      <c r="B602" s="4" t="s">
        <v>2523</v>
      </c>
      <c r="C602" s="5" t="s">
        <v>2570</v>
      </c>
      <c r="D602" s="5" t="s">
        <v>94</v>
      </c>
      <c r="E602" s="5" t="s">
        <v>5</v>
      </c>
      <c r="F602" s="4" t="s">
        <v>2569</v>
      </c>
      <c r="G602" s="14" t="s">
        <v>11</v>
      </c>
      <c r="H602" s="6" t="s">
        <v>11</v>
      </c>
      <c r="I602" s="5" t="s">
        <v>2</v>
      </c>
      <c r="J602" s="5" t="s">
        <v>1121</v>
      </c>
      <c r="K602" s="5" t="s">
        <v>0</v>
      </c>
    </row>
    <row r="603" spans="2:11" ht="15.75" hidden="1" customHeight="1" x14ac:dyDescent="0.2">
      <c r="B603" s="4" t="s">
        <v>2523</v>
      </c>
      <c r="C603" s="4" t="s">
        <v>181</v>
      </c>
      <c r="D603" s="5" t="s">
        <v>42</v>
      </c>
      <c r="E603" s="5" t="s">
        <v>5</v>
      </c>
      <c r="F603" s="4" t="s">
        <v>2568</v>
      </c>
      <c r="G603" s="14" t="s">
        <v>11</v>
      </c>
      <c r="H603" s="6" t="s">
        <v>11</v>
      </c>
      <c r="I603" s="5" t="s">
        <v>2</v>
      </c>
      <c r="J603" s="5" t="s">
        <v>1121</v>
      </c>
      <c r="K603" s="5" t="s">
        <v>0</v>
      </c>
    </row>
    <row r="604" spans="2:11" ht="15.75" hidden="1" customHeight="1" x14ac:dyDescent="0.2">
      <c r="B604" s="4" t="s">
        <v>2523</v>
      </c>
      <c r="C604" s="5" t="s">
        <v>150</v>
      </c>
      <c r="D604" s="5" t="s">
        <v>150</v>
      </c>
      <c r="E604" s="5" t="s">
        <v>5</v>
      </c>
      <c r="F604" s="4" t="s">
        <v>2567</v>
      </c>
      <c r="G604" s="14" t="s">
        <v>11</v>
      </c>
      <c r="H604" s="6" t="s">
        <v>11</v>
      </c>
      <c r="I604" s="5" t="s">
        <v>2</v>
      </c>
      <c r="J604" s="5" t="s">
        <v>1121</v>
      </c>
      <c r="K604" s="5" t="s">
        <v>0</v>
      </c>
    </row>
    <row r="605" spans="2:11" ht="15.75" hidden="1" customHeight="1" x14ac:dyDescent="0.2">
      <c r="B605" s="4" t="s">
        <v>2523</v>
      </c>
      <c r="C605" s="4" t="s">
        <v>181</v>
      </c>
      <c r="D605" s="5" t="s">
        <v>42</v>
      </c>
      <c r="E605" s="5" t="s">
        <v>5</v>
      </c>
      <c r="F605" s="4" t="s">
        <v>2566</v>
      </c>
      <c r="G605" s="14" t="s">
        <v>11</v>
      </c>
      <c r="H605" s="6" t="s">
        <v>11</v>
      </c>
      <c r="I605" s="5" t="s">
        <v>2</v>
      </c>
      <c r="J605" s="5" t="s">
        <v>1121</v>
      </c>
      <c r="K605" s="5" t="s">
        <v>0</v>
      </c>
    </row>
    <row r="606" spans="2:11" ht="15.75" hidden="1" customHeight="1" x14ac:dyDescent="0.2">
      <c r="B606" s="4" t="s">
        <v>2523</v>
      </c>
      <c r="C606" s="5" t="s">
        <v>150</v>
      </c>
      <c r="D606" s="5" t="s">
        <v>150</v>
      </c>
      <c r="E606" s="5" t="s">
        <v>5</v>
      </c>
      <c r="F606" s="4" t="s">
        <v>2565</v>
      </c>
      <c r="G606" s="14" t="s">
        <v>11</v>
      </c>
      <c r="H606" s="6" t="s">
        <v>11</v>
      </c>
      <c r="I606" s="5" t="s">
        <v>2</v>
      </c>
      <c r="J606" s="5" t="s">
        <v>1121</v>
      </c>
      <c r="K606" s="5" t="s">
        <v>0</v>
      </c>
    </row>
    <row r="607" spans="2:11" ht="15.75" hidden="1" customHeight="1" x14ac:dyDescent="0.2">
      <c r="B607" s="4" t="s">
        <v>2523</v>
      </c>
      <c r="C607" s="4" t="s">
        <v>566</v>
      </c>
      <c r="D607" s="5" t="s">
        <v>42</v>
      </c>
      <c r="E607" s="5" t="s">
        <v>5</v>
      </c>
      <c r="F607" s="4" t="s">
        <v>2564</v>
      </c>
      <c r="G607" s="14" t="s">
        <v>11</v>
      </c>
      <c r="H607" s="6" t="s">
        <v>11</v>
      </c>
      <c r="I607" s="5" t="s">
        <v>2</v>
      </c>
      <c r="J607" s="5" t="s">
        <v>1121</v>
      </c>
      <c r="K607" s="5" t="s">
        <v>0</v>
      </c>
    </row>
    <row r="608" spans="2:11" ht="15.75" hidden="1" customHeight="1" x14ac:dyDescent="0.2">
      <c r="B608" s="4" t="s">
        <v>2523</v>
      </c>
      <c r="C608" s="5" t="s">
        <v>150</v>
      </c>
      <c r="D608" s="5" t="s">
        <v>150</v>
      </c>
      <c r="E608" s="5" t="s">
        <v>5</v>
      </c>
      <c r="F608" s="4" t="s">
        <v>2563</v>
      </c>
      <c r="G608" s="14" t="s">
        <v>11</v>
      </c>
      <c r="H608" s="6" t="s">
        <v>11</v>
      </c>
      <c r="I608" s="5" t="s">
        <v>2</v>
      </c>
      <c r="J608" s="5" t="s">
        <v>1121</v>
      </c>
      <c r="K608" s="5" t="s">
        <v>0</v>
      </c>
    </row>
    <row r="609" spans="2:11" ht="15.75" hidden="1" customHeight="1" x14ac:dyDescent="0.2">
      <c r="B609" s="4" t="s">
        <v>2523</v>
      </c>
      <c r="C609" s="5" t="s">
        <v>150</v>
      </c>
      <c r="D609" s="5" t="s">
        <v>150</v>
      </c>
      <c r="E609" s="5" t="s">
        <v>5</v>
      </c>
      <c r="F609" s="4" t="s">
        <v>2562</v>
      </c>
      <c r="G609" s="14" t="s">
        <v>11</v>
      </c>
      <c r="H609" s="6" t="s">
        <v>11</v>
      </c>
      <c r="I609" s="5" t="s">
        <v>2</v>
      </c>
      <c r="J609" s="5" t="s">
        <v>1121</v>
      </c>
      <c r="K609" s="5" t="s">
        <v>0</v>
      </c>
    </row>
    <row r="610" spans="2:11" ht="15.75" hidden="1" customHeight="1" x14ac:dyDescent="0.2">
      <c r="B610" s="4" t="s">
        <v>2523</v>
      </c>
      <c r="C610" s="5" t="s">
        <v>150</v>
      </c>
      <c r="D610" s="5" t="s">
        <v>150</v>
      </c>
      <c r="E610" s="5" t="s">
        <v>5</v>
      </c>
      <c r="F610" s="4" t="s">
        <v>2561</v>
      </c>
      <c r="G610" s="14" t="s">
        <v>11</v>
      </c>
      <c r="H610" s="6" t="s">
        <v>11</v>
      </c>
      <c r="I610" s="5" t="s">
        <v>2</v>
      </c>
      <c r="J610" s="5" t="s">
        <v>1121</v>
      </c>
      <c r="K610" s="5" t="s">
        <v>0</v>
      </c>
    </row>
    <row r="611" spans="2:11" ht="15.75" hidden="1" customHeight="1" x14ac:dyDescent="0.2">
      <c r="B611" s="4" t="s">
        <v>2523</v>
      </c>
      <c r="C611" s="5" t="s">
        <v>150</v>
      </c>
      <c r="D611" s="5" t="s">
        <v>150</v>
      </c>
      <c r="E611" s="5" t="s">
        <v>5</v>
      </c>
      <c r="F611" s="4" t="s">
        <v>2560</v>
      </c>
      <c r="G611" s="14" t="s">
        <v>11</v>
      </c>
      <c r="H611" s="6" t="s">
        <v>11</v>
      </c>
      <c r="I611" s="5" t="s">
        <v>2</v>
      </c>
      <c r="J611" s="5" t="s">
        <v>1121</v>
      </c>
      <c r="K611" s="5" t="s">
        <v>0</v>
      </c>
    </row>
    <row r="612" spans="2:11" ht="15.75" hidden="1" customHeight="1" x14ac:dyDescent="0.2">
      <c r="B612" s="4" t="s">
        <v>2523</v>
      </c>
      <c r="C612" s="5" t="s">
        <v>104</v>
      </c>
      <c r="D612" s="5" t="s">
        <v>18</v>
      </c>
      <c r="E612" s="5" t="s">
        <v>5</v>
      </c>
      <c r="F612" s="4" t="s">
        <v>2559</v>
      </c>
      <c r="G612" s="14" t="s">
        <v>11</v>
      </c>
      <c r="H612" s="6" t="s">
        <v>11</v>
      </c>
      <c r="I612" s="5" t="s">
        <v>2</v>
      </c>
      <c r="J612" s="5" t="s">
        <v>1121</v>
      </c>
      <c r="K612" s="5" t="s">
        <v>0</v>
      </c>
    </row>
    <row r="613" spans="2:11" ht="15.75" hidden="1" customHeight="1" x14ac:dyDescent="0.2">
      <c r="B613" s="4" t="s">
        <v>2523</v>
      </c>
      <c r="C613" s="5"/>
      <c r="D613" s="5" t="s">
        <v>236</v>
      </c>
      <c r="E613" s="5" t="s">
        <v>5</v>
      </c>
      <c r="F613" s="4" t="s">
        <v>2558</v>
      </c>
      <c r="G613" s="14" t="s">
        <v>11</v>
      </c>
      <c r="H613" s="6" t="s">
        <v>11</v>
      </c>
      <c r="I613" s="5" t="s">
        <v>2</v>
      </c>
      <c r="J613" s="5" t="s">
        <v>1121</v>
      </c>
      <c r="K613" s="5" t="s">
        <v>0</v>
      </c>
    </row>
    <row r="614" spans="2:11" ht="15.75" hidden="1" customHeight="1" x14ac:dyDescent="0.2">
      <c r="B614" s="4" t="s">
        <v>2523</v>
      </c>
      <c r="C614" s="5" t="s">
        <v>137</v>
      </c>
      <c r="D614" s="5" t="s">
        <v>71</v>
      </c>
      <c r="E614" s="5" t="s">
        <v>5</v>
      </c>
      <c r="F614" s="4" t="s">
        <v>2557</v>
      </c>
      <c r="G614" s="14" t="s">
        <v>11</v>
      </c>
      <c r="H614" s="6" t="s">
        <v>11</v>
      </c>
      <c r="I614" s="5" t="s">
        <v>2</v>
      </c>
      <c r="J614" s="5" t="s">
        <v>1121</v>
      </c>
      <c r="K614" s="5" t="s">
        <v>0</v>
      </c>
    </row>
    <row r="615" spans="2:11" ht="15.75" hidden="1" customHeight="1" x14ac:dyDescent="0.2">
      <c r="B615" s="4" t="s">
        <v>2523</v>
      </c>
      <c r="C615" s="4" t="s">
        <v>2556</v>
      </c>
      <c r="D615" s="4" t="s">
        <v>236</v>
      </c>
      <c r="E615" s="5" t="s">
        <v>5</v>
      </c>
      <c r="F615" s="4" t="s">
        <v>2555</v>
      </c>
      <c r="G615" s="14" t="s">
        <v>348</v>
      </c>
      <c r="H615" s="6" t="s">
        <v>11</v>
      </c>
      <c r="I615" s="5" t="s">
        <v>2</v>
      </c>
      <c r="J615" s="5" t="s">
        <v>1121</v>
      </c>
      <c r="K615" s="5" t="s">
        <v>0</v>
      </c>
    </row>
    <row r="616" spans="2:11" ht="15.75" hidden="1" customHeight="1" x14ac:dyDescent="0.2">
      <c r="B616" s="4" t="s">
        <v>2523</v>
      </c>
      <c r="C616" s="5" t="s">
        <v>150</v>
      </c>
      <c r="D616" s="5" t="s">
        <v>150</v>
      </c>
      <c r="E616" s="5" t="s">
        <v>5</v>
      </c>
      <c r="F616" s="4" t="s">
        <v>2554</v>
      </c>
      <c r="G616" s="14" t="s">
        <v>11</v>
      </c>
      <c r="H616" s="6" t="s">
        <v>11</v>
      </c>
      <c r="I616" s="5" t="s">
        <v>2</v>
      </c>
      <c r="J616" s="5" t="s">
        <v>1121</v>
      </c>
      <c r="K616" s="5" t="s">
        <v>0</v>
      </c>
    </row>
    <row r="617" spans="2:11" ht="15.75" hidden="1" customHeight="1" x14ac:dyDescent="0.2">
      <c r="B617" s="4" t="s">
        <v>2523</v>
      </c>
      <c r="C617" s="5" t="s">
        <v>150</v>
      </c>
      <c r="D617" s="5" t="s">
        <v>150</v>
      </c>
      <c r="E617" s="5" t="s">
        <v>5</v>
      </c>
      <c r="F617" s="4" t="s">
        <v>2553</v>
      </c>
      <c r="G617" s="14" t="s">
        <v>11</v>
      </c>
      <c r="H617" s="6" t="s">
        <v>11</v>
      </c>
      <c r="I617" s="5" t="s">
        <v>2</v>
      </c>
      <c r="J617" s="5" t="s">
        <v>1121</v>
      </c>
      <c r="K617" s="5" t="s">
        <v>0</v>
      </c>
    </row>
    <row r="618" spans="2:11" ht="15.75" hidden="1" customHeight="1" x14ac:dyDescent="0.2">
      <c r="B618" s="4" t="s">
        <v>2523</v>
      </c>
      <c r="C618" s="5" t="s">
        <v>150</v>
      </c>
      <c r="D618" s="5" t="s">
        <v>150</v>
      </c>
      <c r="E618" s="5" t="s">
        <v>5</v>
      </c>
      <c r="F618" s="4" t="s">
        <v>2552</v>
      </c>
      <c r="G618" s="14" t="s">
        <v>11</v>
      </c>
      <c r="H618" s="6" t="s">
        <v>11</v>
      </c>
      <c r="I618" s="5" t="s">
        <v>2</v>
      </c>
      <c r="J618" s="5" t="s">
        <v>1121</v>
      </c>
      <c r="K618" s="5" t="s">
        <v>0</v>
      </c>
    </row>
    <row r="619" spans="2:11" ht="15.75" hidden="1" customHeight="1" x14ac:dyDescent="0.2">
      <c r="B619" s="4" t="s">
        <v>2523</v>
      </c>
      <c r="C619" s="4" t="s">
        <v>626</v>
      </c>
      <c r="D619" s="4" t="s">
        <v>236</v>
      </c>
      <c r="E619" s="4" t="s">
        <v>5</v>
      </c>
      <c r="F619" s="4" t="s">
        <v>2551</v>
      </c>
      <c r="G619" s="14" t="s">
        <v>348</v>
      </c>
      <c r="H619" s="6" t="s">
        <v>11</v>
      </c>
      <c r="I619" s="5" t="s">
        <v>2</v>
      </c>
      <c r="J619" s="5" t="s">
        <v>1121</v>
      </c>
      <c r="K619" s="5" t="s">
        <v>0</v>
      </c>
    </row>
    <row r="620" spans="2:11" ht="15.75" hidden="1" customHeight="1" x14ac:dyDescent="0.2">
      <c r="B620" s="4" t="s">
        <v>2523</v>
      </c>
      <c r="C620" s="4" t="s">
        <v>104</v>
      </c>
      <c r="D620" s="4" t="s">
        <v>18</v>
      </c>
      <c r="E620" s="5" t="s">
        <v>5</v>
      </c>
      <c r="F620" s="4" t="s">
        <v>2550</v>
      </c>
      <c r="G620" s="14" t="s">
        <v>348</v>
      </c>
      <c r="H620" s="6" t="s">
        <v>11</v>
      </c>
      <c r="I620" s="5" t="s">
        <v>2</v>
      </c>
      <c r="J620" s="5" t="s">
        <v>1121</v>
      </c>
      <c r="K620" s="5" t="s">
        <v>0</v>
      </c>
    </row>
    <row r="621" spans="2:11" ht="15.75" hidden="1" customHeight="1" x14ac:dyDescent="0.2">
      <c r="B621" s="4" t="s">
        <v>2523</v>
      </c>
      <c r="C621" s="4" t="s">
        <v>181</v>
      </c>
      <c r="D621" s="5" t="s">
        <v>42</v>
      </c>
      <c r="E621" s="5" t="s">
        <v>5</v>
      </c>
      <c r="F621" s="4" t="s">
        <v>2549</v>
      </c>
      <c r="G621" s="14" t="s">
        <v>11</v>
      </c>
      <c r="H621" s="6" t="s">
        <v>11</v>
      </c>
      <c r="I621" s="5" t="s">
        <v>2</v>
      </c>
      <c r="J621" s="5" t="s">
        <v>1121</v>
      </c>
      <c r="K621" s="5" t="s">
        <v>0</v>
      </c>
    </row>
    <row r="622" spans="2:11" ht="15.75" hidden="1" customHeight="1" x14ac:dyDescent="0.2">
      <c r="B622" s="4" t="s">
        <v>2523</v>
      </c>
      <c r="C622" s="4" t="s">
        <v>141</v>
      </c>
      <c r="D622" s="4" t="s">
        <v>71</v>
      </c>
      <c r="E622" s="4" t="s">
        <v>5</v>
      </c>
      <c r="F622" s="4" t="s">
        <v>2548</v>
      </c>
      <c r="G622" s="14" t="s">
        <v>11</v>
      </c>
      <c r="H622" s="6" t="s">
        <v>11</v>
      </c>
      <c r="I622" s="5" t="s">
        <v>2</v>
      </c>
      <c r="J622" s="5" t="s">
        <v>2533</v>
      </c>
      <c r="K622" s="5" t="s">
        <v>0</v>
      </c>
    </row>
    <row r="623" spans="2:11" ht="15.75" hidden="1" customHeight="1" x14ac:dyDescent="0.2">
      <c r="B623" s="4" t="s">
        <v>2523</v>
      </c>
      <c r="C623" s="5" t="s">
        <v>150</v>
      </c>
      <c r="D623" s="5" t="s">
        <v>150</v>
      </c>
      <c r="E623" s="5" t="s">
        <v>5</v>
      </c>
      <c r="F623" s="4" t="s">
        <v>2547</v>
      </c>
      <c r="G623" s="14" t="s">
        <v>11</v>
      </c>
      <c r="H623" s="6" t="s">
        <v>11</v>
      </c>
      <c r="I623" s="5" t="s">
        <v>2</v>
      </c>
      <c r="J623" s="5" t="s">
        <v>1121</v>
      </c>
      <c r="K623" s="5" t="s">
        <v>0</v>
      </c>
    </row>
    <row r="624" spans="2:11" ht="15.75" hidden="1" customHeight="1" x14ac:dyDescent="0.2">
      <c r="B624" s="4" t="s">
        <v>2523</v>
      </c>
      <c r="C624" s="5" t="s">
        <v>150</v>
      </c>
      <c r="D624" s="5" t="s">
        <v>150</v>
      </c>
      <c r="E624" s="5" t="s">
        <v>5</v>
      </c>
      <c r="F624" s="4" t="s">
        <v>2546</v>
      </c>
      <c r="G624" s="14" t="s">
        <v>11</v>
      </c>
      <c r="H624" s="6" t="s">
        <v>11</v>
      </c>
      <c r="I624" s="5" t="s">
        <v>2</v>
      </c>
      <c r="J624" s="5" t="s">
        <v>1121</v>
      </c>
      <c r="K624" s="5" t="s">
        <v>0</v>
      </c>
    </row>
    <row r="625" spans="2:11" ht="15.75" hidden="1" customHeight="1" x14ac:dyDescent="0.2">
      <c r="B625" s="4" t="s">
        <v>2523</v>
      </c>
      <c r="C625" s="4" t="s">
        <v>228</v>
      </c>
      <c r="D625" s="4" t="s">
        <v>36</v>
      </c>
      <c r="E625" s="4" t="s">
        <v>5</v>
      </c>
      <c r="F625" s="4" t="s">
        <v>2545</v>
      </c>
      <c r="G625" s="14" t="s">
        <v>348</v>
      </c>
      <c r="H625" s="6" t="s">
        <v>11</v>
      </c>
      <c r="I625" s="5" t="s">
        <v>2</v>
      </c>
      <c r="J625" s="5" t="s">
        <v>1121</v>
      </c>
      <c r="K625" s="5" t="s">
        <v>0</v>
      </c>
    </row>
    <row r="626" spans="2:11" ht="15.75" hidden="1" customHeight="1" x14ac:dyDescent="0.2">
      <c r="B626" s="4" t="s">
        <v>2523</v>
      </c>
      <c r="C626" s="5" t="s">
        <v>150</v>
      </c>
      <c r="D626" s="5" t="s">
        <v>150</v>
      </c>
      <c r="E626" s="5" t="s">
        <v>5</v>
      </c>
      <c r="F626" s="4" t="s">
        <v>2544</v>
      </c>
      <c r="G626" s="14" t="s">
        <v>11</v>
      </c>
      <c r="H626" s="6" t="s">
        <v>11</v>
      </c>
      <c r="I626" s="5" t="s">
        <v>2</v>
      </c>
      <c r="J626" s="5" t="s">
        <v>1121</v>
      </c>
      <c r="K626" s="5" t="s">
        <v>0</v>
      </c>
    </row>
    <row r="627" spans="2:11" ht="15.75" hidden="1" customHeight="1" x14ac:dyDescent="0.2">
      <c r="B627" s="4" t="s">
        <v>2523</v>
      </c>
      <c r="C627" s="5" t="s">
        <v>150</v>
      </c>
      <c r="D627" s="5" t="s">
        <v>150</v>
      </c>
      <c r="E627" s="5" t="s">
        <v>5</v>
      </c>
      <c r="F627" s="4" t="s">
        <v>2543</v>
      </c>
      <c r="G627" s="14" t="s">
        <v>11</v>
      </c>
      <c r="H627" s="6" t="s">
        <v>11</v>
      </c>
      <c r="I627" s="5" t="s">
        <v>2</v>
      </c>
      <c r="J627" s="5" t="s">
        <v>1121</v>
      </c>
      <c r="K627" s="5" t="s">
        <v>0</v>
      </c>
    </row>
    <row r="628" spans="2:11" ht="15.75" hidden="1" customHeight="1" x14ac:dyDescent="0.2">
      <c r="B628" s="4" t="s">
        <v>2523</v>
      </c>
      <c r="C628" s="5" t="s">
        <v>150</v>
      </c>
      <c r="D628" s="5" t="s">
        <v>150</v>
      </c>
      <c r="E628" s="5" t="s">
        <v>5</v>
      </c>
      <c r="F628" s="4" t="s">
        <v>2542</v>
      </c>
      <c r="G628" s="14" t="s">
        <v>11</v>
      </c>
      <c r="H628" s="6" t="s">
        <v>11</v>
      </c>
      <c r="I628" s="5" t="s">
        <v>2</v>
      </c>
      <c r="J628" s="5" t="s">
        <v>1121</v>
      </c>
      <c r="K628" s="5" t="s">
        <v>0</v>
      </c>
    </row>
    <row r="629" spans="2:11" ht="15.75" hidden="1" customHeight="1" x14ac:dyDescent="0.2">
      <c r="B629" s="4" t="s">
        <v>2523</v>
      </c>
      <c r="C629" s="5" t="s">
        <v>89</v>
      </c>
      <c r="D629" s="5" t="s">
        <v>88</v>
      </c>
      <c r="E629" s="5" t="s">
        <v>5</v>
      </c>
      <c r="F629" s="4" t="s">
        <v>2541</v>
      </c>
      <c r="G629" s="14" t="s">
        <v>11</v>
      </c>
      <c r="H629" s="6" t="s">
        <v>11</v>
      </c>
      <c r="I629" s="5" t="s">
        <v>2</v>
      </c>
      <c r="J629" s="5" t="s">
        <v>1121</v>
      </c>
      <c r="K629" s="5" t="s">
        <v>0</v>
      </c>
    </row>
    <row r="630" spans="2:11" ht="15.75" hidden="1" customHeight="1" x14ac:dyDescent="0.2">
      <c r="B630" s="4" t="s">
        <v>2523</v>
      </c>
      <c r="C630" s="5" t="s">
        <v>150</v>
      </c>
      <c r="D630" s="5" t="s">
        <v>150</v>
      </c>
      <c r="E630" s="5" t="s">
        <v>5</v>
      </c>
      <c r="F630" s="4" t="s">
        <v>2540</v>
      </c>
      <c r="G630" s="14" t="s">
        <v>11</v>
      </c>
      <c r="H630" s="6" t="s">
        <v>11</v>
      </c>
      <c r="I630" s="5" t="s">
        <v>2</v>
      </c>
      <c r="J630" s="5" t="s">
        <v>1121</v>
      </c>
      <c r="K630" s="5" t="s">
        <v>0</v>
      </c>
    </row>
    <row r="631" spans="2:11" ht="15.75" hidden="1" customHeight="1" x14ac:dyDescent="0.2">
      <c r="B631" s="4" t="s">
        <v>2523</v>
      </c>
      <c r="C631" s="4" t="s">
        <v>271</v>
      </c>
      <c r="D631" s="5" t="s">
        <v>94</v>
      </c>
      <c r="E631" s="5" t="s">
        <v>5</v>
      </c>
      <c r="F631" s="4" t="s">
        <v>2539</v>
      </c>
      <c r="G631" s="14" t="s">
        <v>11</v>
      </c>
      <c r="H631" s="6" t="s">
        <v>11</v>
      </c>
      <c r="I631" s="5" t="s">
        <v>2</v>
      </c>
      <c r="J631" s="5" t="s">
        <v>1121</v>
      </c>
      <c r="K631" s="5" t="s">
        <v>0</v>
      </c>
    </row>
    <row r="632" spans="2:11" ht="15.75" hidden="1" customHeight="1" x14ac:dyDescent="0.2">
      <c r="B632" s="4" t="s">
        <v>2523</v>
      </c>
      <c r="C632" s="5"/>
      <c r="D632" s="5" t="s">
        <v>97</v>
      </c>
      <c r="E632" s="5" t="s">
        <v>5</v>
      </c>
      <c r="F632" s="4" t="s">
        <v>2538</v>
      </c>
      <c r="G632" s="14" t="s">
        <v>11</v>
      </c>
      <c r="H632" s="6" t="s">
        <v>11</v>
      </c>
      <c r="I632" s="5" t="s">
        <v>2</v>
      </c>
      <c r="J632" s="5" t="s">
        <v>1121</v>
      </c>
      <c r="K632" s="5" t="s">
        <v>0</v>
      </c>
    </row>
    <row r="633" spans="2:11" ht="15.75" hidden="1" customHeight="1" x14ac:dyDescent="0.2">
      <c r="B633" s="4" t="s">
        <v>2523</v>
      </c>
      <c r="C633" s="4" t="s">
        <v>358</v>
      </c>
      <c r="D633" s="5" t="s">
        <v>42</v>
      </c>
      <c r="E633" s="5" t="s">
        <v>5</v>
      </c>
      <c r="F633" s="4" t="s">
        <v>2537</v>
      </c>
      <c r="G633" s="14" t="s">
        <v>11</v>
      </c>
      <c r="H633" s="6" t="s">
        <v>11</v>
      </c>
      <c r="I633" s="5" t="s">
        <v>2</v>
      </c>
      <c r="J633" s="5" t="s">
        <v>1121</v>
      </c>
      <c r="K633" s="5" t="s">
        <v>0</v>
      </c>
    </row>
    <row r="634" spans="2:11" ht="15.75" hidden="1" customHeight="1" x14ac:dyDescent="0.2">
      <c r="B634" s="4" t="s">
        <v>2523</v>
      </c>
      <c r="C634" s="5" t="s">
        <v>150</v>
      </c>
      <c r="D634" s="5" t="s">
        <v>150</v>
      </c>
      <c r="E634" s="5" t="s">
        <v>5</v>
      </c>
      <c r="F634" s="4" t="s">
        <v>2536</v>
      </c>
      <c r="G634" s="14" t="s">
        <v>11</v>
      </c>
      <c r="H634" s="6" t="s">
        <v>11</v>
      </c>
      <c r="I634" s="5" t="s">
        <v>2</v>
      </c>
      <c r="J634" s="5" t="s">
        <v>1121</v>
      </c>
      <c r="K634" s="5" t="s">
        <v>0</v>
      </c>
    </row>
    <row r="635" spans="2:11" ht="15.75" hidden="1" customHeight="1" x14ac:dyDescent="0.2">
      <c r="B635" s="4" t="s">
        <v>2523</v>
      </c>
      <c r="C635" s="4" t="s">
        <v>358</v>
      </c>
      <c r="D635" s="5" t="s">
        <v>42</v>
      </c>
      <c r="E635" s="5" t="s">
        <v>5</v>
      </c>
      <c r="F635" s="4" t="s">
        <v>2535</v>
      </c>
      <c r="G635" s="21" t="s">
        <v>11</v>
      </c>
      <c r="H635" s="6" t="s">
        <v>11</v>
      </c>
      <c r="I635" s="5" t="s">
        <v>2</v>
      </c>
      <c r="J635" s="5" t="s">
        <v>1121</v>
      </c>
      <c r="K635" s="5" t="s">
        <v>0</v>
      </c>
    </row>
    <row r="636" spans="2:11" ht="15.75" hidden="1" customHeight="1" x14ac:dyDescent="0.2">
      <c r="B636" s="4" t="s">
        <v>2523</v>
      </c>
      <c r="C636" s="4" t="s">
        <v>228</v>
      </c>
      <c r="D636" s="4" t="s">
        <v>36</v>
      </c>
      <c r="E636" s="4" t="s">
        <v>5</v>
      </c>
      <c r="F636" s="4" t="s">
        <v>2534</v>
      </c>
      <c r="G636" s="14" t="s">
        <v>11</v>
      </c>
      <c r="H636" s="6" t="s">
        <v>11</v>
      </c>
      <c r="I636" s="5" t="s">
        <v>2</v>
      </c>
      <c r="J636" s="5" t="s">
        <v>2533</v>
      </c>
      <c r="K636" s="5" t="s">
        <v>0</v>
      </c>
    </row>
    <row r="637" spans="2:11" ht="15.75" hidden="1" customHeight="1" x14ac:dyDescent="0.2">
      <c r="B637" s="4" t="s">
        <v>2523</v>
      </c>
      <c r="C637" s="4" t="s">
        <v>228</v>
      </c>
      <c r="D637" s="4" t="s">
        <v>36</v>
      </c>
      <c r="E637" s="4" t="s">
        <v>5</v>
      </c>
      <c r="F637" s="4" t="s">
        <v>2532</v>
      </c>
      <c r="G637" s="14" t="s">
        <v>11</v>
      </c>
      <c r="H637" s="6" t="s">
        <v>11</v>
      </c>
      <c r="I637" s="4" t="s">
        <v>2</v>
      </c>
      <c r="J637" s="4" t="s">
        <v>2525</v>
      </c>
      <c r="K637" s="4" t="s">
        <v>0</v>
      </c>
    </row>
    <row r="638" spans="2:11" ht="15.75" hidden="1" customHeight="1" x14ac:dyDescent="0.2">
      <c r="B638" s="4" t="s">
        <v>2523</v>
      </c>
      <c r="C638" s="5" t="s">
        <v>89</v>
      </c>
      <c r="D638" s="5" t="s">
        <v>88</v>
      </c>
      <c r="E638" s="5" t="s">
        <v>5</v>
      </c>
      <c r="F638" s="4" t="s">
        <v>2531</v>
      </c>
      <c r="G638" s="14" t="s">
        <v>11</v>
      </c>
      <c r="H638" s="6" t="s">
        <v>11</v>
      </c>
      <c r="I638" s="5" t="s">
        <v>2</v>
      </c>
      <c r="J638" s="5" t="s">
        <v>1121</v>
      </c>
      <c r="K638" s="5" t="s">
        <v>0</v>
      </c>
    </row>
    <row r="639" spans="2:11" ht="15.75" hidden="1" customHeight="1" x14ac:dyDescent="0.2">
      <c r="B639" s="4" t="s">
        <v>2523</v>
      </c>
      <c r="C639" s="4" t="s">
        <v>271</v>
      </c>
      <c r="D639" s="5" t="s">
        <v>94</v>
      </c>
      <c r="E639" s="5" t="s">
        <v>5</v>
      </c>
      <c r="F639" s="4" t="s">
        <v>2530</v>
      </c>
      <c r="G639" s="5" t="s">
        <v>435</v>
      </c>
      <c r="H639" s="6" t="s">
        <v>272</v>
      </c>
      <c r="I639" s="5" t="s">
        <v>2</v>
      </c>
      <c r="J639" s="5" t="s">
        <v>1121</v>
      </c>
      <c r="K639" s="5" t="s">
        <v>0</v>
      </c>
    </row>
    <row r="640" spans="2:11" ht="15.75" hidden="1" customHeight="1" x14ac:dyDescent="0.2">
      <c r="B640" s="4" t="s">
        <v>2523</v>
      </c>
      <c r="C640" s="4"/>
      <c r="D640" s="4" t="s">
        <v>13</v>
      </c>
      <c r="E640" s="4" t="s">
        <v>5</v>
      </c>
      <c r="F640" s="4" t="s">
        <v>2529</v>
      </c>
      <c r="G640" s="14" t="s">
        <v>2526</v>
      </c>
      <c r="H640" s="6" t="s">
        <v>272</v>
      </c>
      <c r="I640" s="4" t="s">
        <v>2</v>
      </c>
      <c r="J640" s="4" t="s">
        <v>2525</v>
      </c>
      <c r="K640" s="4" t="s">
        <v>0</v>
      </c>
    </row>
    <row r="641" spans="2:11" ht="15.75" hidden="1" customHeight="1" x14ac:dyDescent="0.2">
      <c r="B641" s="4" t="s">
        <v>2523</v>
      </c>
      <c r="C641" s="5"/>
      <c r="D641" s="5" t="s">
        <v>13</v>
      </c>
      <c r="E641" s="5" t="s">
        <v>5</v>
      </c>
      <c r="F641" s="4" t="s">
        <v>2528</v>
      </c>
      <c r="G641" s="14" t="s">
        <v>2526</v>
      </c>
      <c r="H641" s="6" t="s">
        <v>272</v>
      </c>
      <c r="I641" s="5" t="s">
        <v>2</v>
      </c>
      <c r="J641" s="5" t="s">
        <v>1121</v>
      </c>
      <c r="K641" s="5" t="s">
        <v>0</v>
      </c>
    </row>
    <row r="642" spans="2:11" ht="15.75" hidden="1" customHeight="1" x14ac:dyDescent="0.2">
      <c r="B642" s="4" t="s">
        <v>2523</v>
      </c>
      <c r="C642" s="4"/>
      <c r="D642" s="4" t="s">
        <v>13</v>
      </c>
      <c r="E642" s="4" t="s">
        <v>5</v>
      </c>
      <c r="F642" s="4" t="s">
        <v>2527</v>
      </c>
      <c r="G642" s="14" t="s">
        <v>2526</v>
      </c>
      <c r="H642" s="6" t="s">
        <v>272</v>
      </c>
      <c r="I642" s="4" t="s">
        <v>2</v>
      </c>
      <c r="J642" s="4" t="s">
        <v>2525</v>
      </c>
      <c r="K642" s="4" t="s">
        <v>0</v>
      </c>
    </row>
    <row r="643" spans="2:11" ht="15.75" hidden="1" customHeight="1" x14ac:dyDescent="0.2">
      <c r="B643" s="4" t="s">
        <v>2523</v>
      </c>
      <c r="C643" s="4" t="s">
        <v>228</v>
      </c>
      <c r="D643" s="4" t="s">
        <v>36</v>
      </c>
      <c r="E643" s="5" t="s">
        <v>5</v>
      </c>
      <c r="F643" s="4" t="s">
        <v>2524</v>
      </c>
      <c r="G643" s="14" t="s">
        <v>348</v>
      </c>
      <c r="H643" s="6" t="s">
        <v>11</v>
      </c>
      <c r="I643" s="5" t="s">
        <v>2</v>
      </c>
      <c r="J643" s="5" t="s">
        <v>1121</v>
      </c>
      <c r="K643" s="5" t="s">
        <v>0</v>
      </c>
    </row>
    <row r="644" spans="2:11" ht="15.75" hidden="1" customHeight="1" x14ac:dyDescent="0.2">
      <c r="B644" s="4" t="s">
        <v>2523</v>
      </c>
      <c r="C644" s="5" t="s">
        <v>111</v>
      </c>
      <c r="D644" s="5" t="s">
        <v>24</v>
      </c>
      <c r="E644" s="5" t="s">
        <v>5</v>
      </c>
      <c r="F644" s="4" t="s">
        <v>2522</v>
      </c>
      <c r="G644" s="14" t="s">
        <v>3</v>
      </c>
      <c r="H644" s="6" t="s">
        <v>3</v>
      </c>
      <c r="I644" s="5" t="s">
        <v>2</v>
      </c>
      <c r="J644" s="5" t="s">
        <v>1121</v>
      </c>
      <c r="K644" s="5" t="s">
        <v>0</v>
      </c>
    </row>
    <row r="645" spans="2:11" ht="15.75" hidden="1" customHeight="1" x14ac:dyDescent="0.2">
      <c r="B645" s="4" t="s">
        <v>1435</v>
      </c>
      <c r="C645" s="6"/>
      <c r="D645" s="6" t="s">
        <v>2489</v>
      </c>
      <c r="E645" s="4" t="s">
        <v>5</v>
      </c>
      <c r="F645" s="4" t="s">
        <v>2521</v>
      </c>
      <c r="G645" s="19" t="s">
        <v>2520</v>
      </c>
      <c r="H645" s="6" t="s">
        <v>272</v>
      </c>
      <c r="I645" s="5" t="s">
        <v>305</v>
      </c>
      <c r="J645" s="5" t="s">
        <v>1436</v>
      </c>
      <c r="K645" s="5" t="s">
        <v>279</v>
      </c>
    </row>
    <row r="646" spans="2:11" ht="15.75" hidden="1" customHeight="1" x14ac:dyDescent="0.2">
      <c r="B646" s="4" t="s">
        <v>1435</v>
      </c>
      <c r="C646" s="6" t="s">
        <v>2519</v>
      </c>
      <c r="D646" s="4" t="s">
        <v>94</v>
      </c>
      <c r="E646" s="4" t="s">
        <v>5</v>
      </c>
      <c r="F646" s="4" t="s">
        <v>2518</v>
      </c>
      <c r="G646" s="19" t="str">
        <f>HYPERLINK("https://www.dnaindia.com/mumbai/report-no-joyride-overloaded-camel-dies-1225476","News")</f>
        <v>News</v>
      </c>
      <c r="H646" s="6" t="s">
        <v>3</v>
      </c>
      <c r="I646" s="5" t="s">
        <v>305</v>
      </c>
      <c r="J646" s="5" t="s">
        <v>2059</v>
      </c>
      <c r="K646" s="5" t="s">
        <v>840</v>
      </c>
    </row>
    <row r="647" spans="2:11" ht="15.75" hidden="1" customHeight="1" x14ac:dyDescent="0.2">
      <c r="B647" s="4" t="s">
        <v>1435</v>
      </c>
      <c r="C647" s="4" t="s">
        <v>2517</v>
      </c>
      <c r="D647" s="4" t="s">
        <v>59</v>
      </c>
      <c r="E647" s="4" t="s">
        <v>5</v>
      </c>
      <c r="F647" s="4" t="s">
        <v>2516</v>
      </c>
      <c r="G647" s="19" t="str">
        <f>HYPERLINK("https://economictimes.indiatimes.com/news/environment/flora-fauna/the-heat-is-on-himalayan-yaks/articleshow/5140354.cms?from=mdr","News")</f>
        <v>News</v>
      </c>
      <c r="H647" s="6" t="s">
        <v>3</v>
      </c>
      <c r="I647" s="5" t="s">
        <v>305</v>
      </c>
      <c r="J647" s="5" t="s">
        <v>2059</v>
      </c>
      <c r="K647" s="5" t="s">
        <v>2515</v>
      </c>
    </row>
    <row r="648" spans="2:11" ht="15.75" hidden="1" customHeight="1" x14ac:dyDescent="0.2">
      <c r="B648" s="4" t="s">
        <v>1435</v>
      </c>
      <c r="C648" s="6"/>
      <c r="D648" s="6"/>
      <c r="E648" s="4" t="s">
        <v>5</v>
      </c>
      <c r="F648" s="4" t="s">
        <v>2514</v>
      </c>
      <c r="G648" s="6" t="s">
        <v>272</v>
      </c>
      <c r="H648" s="6">
        <v>19</v>
      </c>
      <c r="I648" s="5" t="s">
        <v>305</v>
      </c>
      <c r="J648" s="5" t="s">
        <v>1480</v>
      </c>
      <c r="K648" s="5" t="s">
        <v>639</v>
      </c>
    </row>
    <row r="649" spans="2:11" ht="15.75" hidden="1" customHeight="1" x14ac:dyDescent="0.2">
      <c r="B649" s="4" t="s">
        <v>1435</v>
      </c>
      <c r="C649" s="6" t="s">
        <v>545</v>
      </c>
      <c r="D649" s="4" t="s">
        <v>42</v>
      </c>
      <c r="E649" s="4" t="s">
        <v>5</v>
      </c>
      <c r="F649" s="4" t="s">
        <v>2513</v>
      </c>
      <c r="G649" s="19" t="s">
        <v>3</v>
      </c>
      <c r="H649" s="6" t="s">
        <v>3</v>
      </c>
      <c r="I649" s="5" t="s">
        <v>305</v>
      </c>
      <c r="J649" s="5" t="s">
        <v>1439</v>
      </c>
      <c r="K649" s="5" t="s">
        <v>955</v>
      </c>
    </row>
    <row r="650" spans="2:11" ht="15.75" hidden="1" customHeight="1" x14ac:dyDescent="0.2">
      <c r="B650" s="4" t="s">
        <v>1435</v>
      </c>
      <c r="C650" s="4" t="s">
        <v>997</v>
      </c>
      <c r="D650" s="4" t="s">
        <v>154</v>
      </c>
      <c r="E650" s="4" t="s">
        <v>5</v>
      </c>
      <c r="F650" s="4" t="s">
        <v>2512</v>
      </c>
      <c r="G650" s="19" t="s">
        <v>3</v>
      </c>
      <c r="H650" s="6" t="s">
        <v>3</v>
      </c>
      <c r="I650" s="5" t="s">
        <v>305</v>
      </c>
      <c r="J650" s="5" t="s">
        <v>1528</v>
      </c>
      <c r="K650" s="5" t="s">
        <v>1527</v>
      </c>
    </row>
    <row r="651" spans="2:11" ht="15.75" hidden="1" customHeight="1" x14ac:dyDescent="0.2">
      <c r="B651" s="4" t="s">
        <v>1435</v>
      </c>
      <c r="C651" s="6"/>
      <c r="D651" s="4" t="s">
        <v>150</v>
      </c>
      <c r="E651" s="4" t="s">
        <v>23</v>
      </c>
      <c r="F651" s="4" t="s">
        <v>2511</v>
      </c>
      <c r="G651" s="19" t="s">
        <v>2510</v>
      </c>
      <c r="H651" s="6" t="s">
        <v>1301</v>
      </c>
      <c r="I651" s="5" t="s">
        <v>305</v>
      </c>
      <c r="J651" s="5" t="s">
        <v>2059</v>
      </c>
      <c r="K651" s="5" t="s">
        <v>1452</v>
      </c>
    </row>
    <row r="652" spans="2:11" ht="15.75" hidden="1" customHeight="1" x14ac:dyDescent="0.2">
      <c r="B652" s="4" t="s">
        <v>1435</v>
      </c>
      <c r="C652" s="6" t="s">
        <v>139</v>
      </c>
      <c r="D652" s="4" t="s">
        <v>18</v>
      </c>
      <c r="E652" s="4" t="s">
        <v>23</v>
      </c>
      <c r="F652" s="4" t="s">
        <v>2509</v>
      </c>
      <c r="G652" s="19" t="str">
        <f>HYPERLINK("https://indianexpress.com/article/cities/pune/probe-cruelty-to-bullocks-cops-told/","News")</f>
        <v>News</v>
      </c>
      <c r="H652" s="6" t="s">
        <v>3</v>
      </c>
      <c r="I652" s="5" t="s">
        <v>305</v>
      </c>
      <c r="J652" s="5" t="s">
        <v>2059</v>
      </c>
      <c r="K652" s="5" t="s">
        <v>34</v>
      </c>
    </row>
    <row r="653" spans="2:11" ht="15.75" hidden="1" customHeight="1" x14ac:dyDescent="0.2">
      <c r="B653" s="4" t="s">
        <v>1435</v>
      </c>
      <c r="C653" s="6"/>
      <c r="D653" s="6" t="s">
        <v>2489</v>
      </c>
      <c r="E653" s="4" t="s">
        <v>159</v>
      </c>
      <c r="F653" s="4" t="s">
        <v>2508</v>
      </c>
      <c r="G653" s="19" t="s">
        <v>2506</v>
      </c>
      <c r="H653" s="6" t="s">
        <v>1301</v>
      </c>
      <c r="I653" s="5" t="s">
        <v>305</v>
      </c>
      <c r="J653" s="5" t="s">
        <v>1436</v>
      </c>
      <c r="K653" s="5" t="s">
        <v>204</v>
      </c>
    </row>
    <row r="654" spans="2:11" ht="15.75" hidden="1" customHeight="1" x14ac:dyDescent="0.2">
      <c r="B654" s="4" t="s">
        <v>1435</v>
      </c>
      <c r="C654" s="6"/>
      <c r="D654" s="6" t="s">
        <v>2489</v>
      </c>
      <c r="E654" s="4" t="s">
        <v>17</v>
      </c>
      <c r="F654" s="4" t="s">
        <v>2507</v>
      </c>
      <c r="G654" s="19" t="s">
        <v>2506</v>
      </c>
      <c r="H654" s="6" t="s">
        <v>1301</v>
      </c>
      <c r="I654" s="5" t="s">
        <v>305</v>
      </c>
      <c r="J654" s="5" t="s">
        <v>1436</v>
      </c>
      <c r="K654" s="5" t="s">
        <v>204</v>
      </c>
    </row>
    <row r="655" spans="2:11" ht="15.75" hidden="1" customHeight="1" x14ac:dyDescent="0.2">
      <c r="B655" s="4" t="s">
        <v>1435</v>
      </c>
      <c r="C655" s="4" t="s">
        <v>104</v>
      </c>
      <c r="D655" s="4" t="s">
        <v>18</v>
      </c>
      <c r="E655" s="4" t="s">
        <v>5</v>
      </c>
      <c r="F655" s="4" t="s">
        <v>2505</v>
      </c>
      <c r="G655" s="19" t="str">
        <f>HYPERLINK("https://indianexpress.com/article/entertainment/entertainment-others/khatta-meetha-faces-animal-cruelty-complaints/","News")</f>
        <v>News</v>
      </c>
      <c r="H655" s="6" t="s">
        <v>3</v>
      </c>
      <c r="I655" s="5" t="s">
        <v>305</v>
      </c>
      <c r="J655" s="5" t="s">
        <v>1436</v>
      </c>
      <c r="K655" s="5" t="s">
        <v>64</v>
      </c>
    </row>
    <row r="656" spans="2:11" ht="15.75" hidden="1" customHeight="1" x14ac:dyDescent="0.2">
      <c r="B656" s="4" t="s">
        <v>1435</v>
      </c>
      <c r="C656" s="6"/>
      <c r="D656" s="4" t="s">
        <v>150</v>
      </c>
      <c r="E656" s="4" t="s">
        <v>159</v>
      </c>
      <c r="F656" s="4" t="s">
        <v>2504</v>
      </c>
      <c r="G656" s="14" t="str">
        <f>HYPERLINK("https://www.youtube.com/watch?v=tpZCt01SAR4","Youtube (AFP News)")</f>
        <v>Youtube (AFP News)</v>
      </c>
      <c r="H656" s="6" t="s">
        <v>3</v>
      </c>
      <c r="I656" s="5" t="s">
        <v>305</v>
      </c>
      <c r="J656" s="5" t="s">
        <v>1439</v>
      </c>
      <c r="K656" s="5" t="s">
        <v>955</v>
      </c>
    </row>
    <row r="657" spans="2:11" ht="15.75" hidden="1" customHeight="1" x14ac:dyDescent="0.2">
      <c r="B657" s="4" t="s">
        <v>1435</v>
      </c>
      <c r="C657" s="4" t="s">
        <v>137</v>
      </c>
      <c r="D657" s="4" t="s">
        <v>71</v>
      </c>
      <c r="E657" s="4" t="s">
        <v>5</v>
      </c>
      <c r="F657" s="4" t="s">
        <v>2503</v>
      </c>
      <c r="G657" s="19" t="str">
        <f>HYPERLINK("https://www.youtube.com/watch?v=aXc_v6Q_bLA&amp;list=UU4lx6mlo-RgBdu4R82L3GDw&amp;index=347","Youtube")</f>
        <v>Youtube</v>
      </c>
      <c r="H657" s="6" t="s">
        <v>3</v>
      </c>
      <c r="I657" s="5" t="s">
        <v>305</v>
      </c>
      <c r="J657" s="5" t="s">
        <v>1439</v>
      </c>
      <c r="K657" s="5" t="s">
        <v>955</v>
      </c>
    </row>
    <row r="658" spans="2:11" ht="15.75" hidden="1" customHeight="1" x14ac:dyDescent="0.2">
      <c r="B658" s="4" t="s">
        <v>1435</v>
      </c>
      <c r="C658" s="4" t="s">
        <v>228</v>
      </c>
      <c r="D658" s="6" t="s">
        <v>36</v>
      </c>
      <c r="E658" s="4" t="s">
        <v>5</v>
      </c>
      <c r="F658" s="4" t="s">
        <v>2502</v>
      </c>
      <c r="G658" s="4" t="s">
        <v>177</v>
      </c>
      <c r="H658" s="6" t="s">
        <v>272</v>
      </c>
      <c r="I658" s="5" t="s">
        <v>305</v>
      </c>
      <c r="J658" s="5" t="s">
        <v>1436</v>
      </c>
      <c r="K658" s="5" t="s">
        <v>64</v>
      </c>
    </row>
    <row r="659" spans="2:11" ht="15.75" hidden="1" customHeight="1" x14ac:dyDescent="0.2">
      <c r="B659" s="4" t="s">
        <v>1435</v>
      </c>
      <c r="C659" s="6"/>
      <c r="D659" s="6"/>
      <c r="E659" s="4" t="s">
        <v>159</v>
      </c>
      <c r="F659" s="4" t="s">
        <v>2501</v>
      </c>
      <c r="G659" s="19" t="str">
        <f>HYPERLINK("https://www.dailymail.co.uk/news/article-1391313/The-bear-repair-squad-The-remarkable-British-women-restoring-sight-Indias-blind-dancing-bears-.html?ito=feeds-newsxml","News")</f>
        <v>News</v>
      </c>
      <c r="H659" s="6" t="s">
        <v>3</v>
      </c>
      <c r="I659" s="5" t="s">
        <v>305</v>
      </c>
      <c r="J659" s="5" t="s">
        <v>1436</v>
      </c>
      <c r="K659" s="5" t="s">
        <v>879</v>
      </c>
    </row>
    <row r="660" spans="2:11" ht="15.75" hidden="1" customHeight="1" x14ac:dyDescent="0.2">
      <c r="B660" s="4" t="s">
        <v>1435</v>
      </c>
      <c r="C660" s="6"/>
      <c r="D660" s="6"/>
      <c r="E660" s="4" t="s">
        <v>159</v>
      </c>
      <c r="F660" s="4" t="s">
        <v>2500</v>
      </c>
      <c r="G660" s="4" t="s">
        <v>177</v>
      </c>
      <c r="H660" s="6" t="s">
        <v>272</v>
      </c>
      <c r="I660" s="5" t="s">
        <v>305</v>
      </c>
      <c r="J660" s="5" t="s">
        <v>1915</v>
      </c>
      <c r="K660" s="5" t="s">
        <v>1430</v>
      </c>
    </row>
    <row r="661" spans="2:11" ht="15.75" hidden="1" customHeight="1" x14ac:dyDescent="0.2">
      <c r="B661" s="4" t="s">
        <v>1435</v>
      </c>
      <c r="C661" s="6"/>
      <c r="D661" s="6"/>
      <c r="E661" s="4" t="s">
        <v>17</v>
      </c>
      <c r="F661" s="4" t="s">
        <v>2499</v>
      </c>
      <c r="G661" s="19" t="str">
        <f>HYPERLINK("https://www.animalrahat.com/latest-news/countless-ponies-and-bullocks-will-be-spared-immeasurable-suffering/","Animal Rahat")</f>
        <v>Animal Rahat</v>
      </c>
      <c r="H661" s="6" t="s">
        <v>1620</v>
      </c>
      <c r="I661" s="5" t="s">
        <v>305</v>
      </c>
      <c r="J661" s="5" t="s">
        <v>2059</v>
      </c>
      <c r="K661" s="5" t="s">
        <v>1996</v>
      </c>
    </row>
    <row r="662" spans="2:11" ht="15.75" hidden="1" customHeight="1" x14ac:dyDescent="0.2">
      <c r="B662" s="4" t="s">
        <v>1435</v>
      </c>
      <c r="C662" s="6"/>
      <c r="D662" s="6"/>
      <c r="E662" s="4" t="s">
        <v>17</v>
      </c>
      <c r="F662" s="4" t="s">
        <v>2498</v>
      </c>
      <c r="G662" s="19" t="s">
        <v>3</v>
      </c>
      <c r="H662" s="6" t="s">
        <v>3</v>
      </c>
      <c r="I662" s="5" t="s">
        <v>305</v>
      </c>
      <c r="J662" s="5" t="s">
        <v>1436</v>
      </c>
      <c r="K662" s="5" t="s">
        <v>204</v>
      </c>
    </row>
    <row r="663" spans="2:11" ht="15.75" hidden="1" customHeight="1" x14ac:dyDescent="0.2">
      <c r="B663" s="4" t="s">
        <v>1435</v>
      </c>
      <c r="C663" s="4" t="s">
        <v>299</v>
      </c>
      <c r="D663" s="4" t="s">
        <v>28</v>
      </c>
      <c r="E663" s="4" t="s">
        <v>5</v>
      </c>
      <c r="F663" s="4" t="s">
        <v>2497</v>
      </c>
      <c r="G663" s="23" t="s">
        <v>3</v>
      </c>
      <c r="H663" s="6" t="s">
        <v>3</v>
      </c>
      <c r="I663" s="5" t="s">
        <v>305</v>
      </c>
      <c r="J663" s="5" t="s">
        <v>2059</v>
      </c>
      <c r="K663" s="5" t="s">
        <v>840</v>
      </c>
    </row>
    <row r="664" spans="2:11" ht="15.75" hidden="1" customHeight="1" x14ac:dyDescent="0.2">
      <c r="B664" s="4" t="s">
        <v>1435</v>
      </c>
      <c r="C664" s="4" t="s">
        <v>139</v>
      </c>
      <c r="D664" s="4" t="s">
        <v>18</v>
      </c>
      <c r="E664" s="4" t="s">
        <v>23</v>
      </c>
      <c r="F664" s="4" t="s">
        <v>2496</v>
      </c>
      <c r="G664" s="19" t="str">
        <f>HYPERLINK("https://www.dnaindia.com/mumbai/report-peta-exposes-bullock-abuse-at-maharashtra-sugar-factory-1552598","News")</f>
        <v>News</v>
      </c>
      <c r="H664" s="6" t="s">
        <v>3</v>
      </c>
      <c r="I664" s="5" t="s">
        <v>305</v>
      </c>
      <c r="J664" s="5" t="s">
        <v>1436</v>
      </c>
      <c r="K664" s="5" t="s">
        <v>2364</v>
      </c>
    </row>
    <row r="665" spans="2:11" ht="15.75" hidden="1" customHeight="1" x14ac:dyDescent="0.2">
      <c r="B665" s="4" t="s">
        <v>1435</v>
      </c>
      <c r="C665" s="6"/>
      <c r="D665" s="4" t="s">
        <v>150</v>
      </c>
      <c r="E665" s="4" t="s">
        <v>17</v>
      </c>
      <c r="F665" s="4" t="s">
        <v>2495</v>
      </c>
      <c r="G665" s="19" t="s">
        <v>3</v>
      </c>
      <c r="H665" s="6" t="s">
        <v>3</v>
      </c>
      <c r="I665" s="5" t="s">
        <v>305</v>
      </c>
      <c r="J665" s="5" t="s">
        <v>1480</v>
      </c>
      <c r="K665" s="5" t="s">
        <v>639</v>
      </c>
    </row>
    <row r="666" spans="2:11" ht="15.75" hidden="1" customHeight="1" x14ac:dyDescent="0.2">
      <c r="B666" s="4" t="s">
        <v>1435</v>
      </c>
      <c r="C666" s="4" t="s">
        <v>2355</v>
      </c>
      <c r="D666" s="4" t="s">
        <v>77</v>
      </c>
      <c r="E666" s="4" t="s">
        <v>159</v>
      </c>
      <c r="F666" s="4" t="s">
        <v>2494</v>
      </c>
      <c r="G666" s="19" t="str">
        <f>HYPERLINK("https://m.timesofindia.com/city/chennai/10-monkeys-rescued-from-Marina-beach/articleshow/9777304.cms","News")</f>
        <v>News</v>
      </c>
      <c r="H666" s="6" t="s">
        <v>3</v>
      </c>
      <c r="I666" s="5" t="s">
        <v>305</v>
      </c>
      <c r="J666" s="5" t="s">
        <v>1436</v>
      </c>
      <c r="K666" s="5" t="s">
        <v>19</v>
      </c>
    </row>
    <row r="667" spans="2:11" ht="15.75" hidden="1" customHeight="1" x14ac:dyDescent="0.2">
      <c r="B667" s="4" t="s">
        <v>1435</v>
      </c>
      <c r="C667" s="4" t="s">
        <v>201</v>
      </c>
      <c r="D667" s="4" t="s">
        <v>154</v>
      </c>
      <c r="E667" s="4" t="s">
        <v>159</v>
      </c>
      <c r="F667" s="4" t="s">
        <v>2493</v>
      </c>
      <c r="G667" s="4" t="s">
        <v>177</v>
      </c>
      <c r="H667" s="6" t="s">
        <v>272</v>
      </c>
      <c r="I667" s="5" t="s">
        <v>305</v>
      </c>
      <c r="J667" s="5" t="s">
        <v>1528</v>
      </c>
      <c r="K667" s="5" t="s">
        <v>1527</v>
      </c>
    </row>
    <row r="668" spans="2:11" ht="15.75" hidden="1" customHeight="1" x14ac:dyDescent="0.2">
      <c r="B668" s="4" t="s">
        <v>1435</v>
      </c>
      <c r="C668" s="4" t="s">
        <v>2492</v>
      </c>
      <c r="D668" s="4" t="s">
        <v>88</v>
      </c>
      <c r="E668" s="4" t="s">
        <v>5</v>
      </c>
      <c r="F668" s="4" t="s">
        <v>2491</v>
      </c>
      <c r="G668" s="19" t="str">
        <f>HYPERLINK("https://www.telegraphindia.com/states/west-bengal/jumbo-kills-boy-after-fun-ride/cid/332297","News")</f>
        <v>News</v>
      </c>
      <c r="H668" s="6" t="s">
        <v>3</v>
      </c>
      <c r="I668" s="5" t="s">
        <v>305</v>
      </c>
      <c r="J668" s="5" t="s">
        <v>1439</v>
      </c>
      <c r="K668" s="5" t="s">
        <v>64</v>
      </c>
    </row>
    <row r="669" spans="2:11" ht="15.75" hidden="1" customHeight="1" x14ac:dyDescent="0.2">
      <c r="B669" s="4" t="s">
        <v>1435</v>
      </c>
      <c r="C669" s="4" t="s">
        <v>139</v>
      </c>
      <c r="D669" s="4" t="s">
        <v>18</v>
      </c>
      <c r="E669" s="18" t="s">
        <v>23</v>
      </c>
      <c r="F669" s="4" t="s">
        <v>2490</v>
      </c>
      <c r="G669" s="19" t="str">
        <f>HYPERLINK("https://punemirror.indiatimes.com/pune/cover-story/animal-cruelty-charges-filed-against-four-mandals/articleshow/32041364.cms","News")</f>
        <v>News</v>
      </c>
      <c r="H669" s="6" t="s">
        <v>3</v>
      </c>
      <c r="I669" s="5" t="s">
        <v>305</v>
      </c>
      <c r="J669" s="5" t="s">
        <v>2431</v>
      </c>
      <c r="K669" s="5" t="s">
        <v>34</v>
      </c>
    </row>
    <row r="670" spans="2:11" ht="15.75" hidden="1" customHeight="1" x14ac:dyDescent="0.2">
      <c r="B670" s="4" t="s">
        <v>1435</v>
      </c>
      <c r="C670" s="6"/>
      <c r="D670" s="6" t="s">
        <v>2489</v>
      </c>
      <c r="E670" s="4" t="s">
        <v>17</v>
      </c>
      <c r="F670" s="4" t="s">
        <v>2488</v>
      </c>
      <c r="G670" s="19" t="s">
        <v>3</v>
      </c>
      <c r="H670" s="6" t="s">
        <v>3</v>
      </c>
      <c r="I670" s="5" t="s">
        <v>305</v>
      </c>
      <c r="J670" s="5" t="s">
        <v>1915</v>
      </c>
      <c r="K670" s="5" t="s">
        <v>373</v>
      </c>
    </row>
    <row r="671" spans="2:11" ht="15.75" hidden="1" customHeight="1" x14ac:dyDescent="0.2">
      <c r="B671" s="4" t="s">
        <v>1435</v>
      </c>
      <c r="C671" s="4" t="s">
        <v>2479</v>
      </c>
      <c r="D671" s="4" t="s">
        <v>18</v>
      </c>
      <c r="E671" s="4" t="s">
        <v>159</v>
      </c>
      <c r="F671" s="4" t="s">
        <v>2487</v>
      </c>
      <c r="G671" s="19" t="s">
        <v>3</v>
      </c>
      <c r="H671" s="6" t="s">
        <v>3</v>
      </c>
      <c r="I671" s="5" t="s">
        <v>305</v>
      </c>
      <c r="J671" s="5" t="s">
        <v>1436</v>
      </c>
      <c r="K671" s="5" t="s">
        <v>85</v>
      </c>
    </row>
    <row r="672" spans="2:11" ht="15.75" hidden="1" customHeight="1" x14ac:dyDescent="0.2">
      <c r="B672" s="4" t="s">
        <v>1435</v>
      </c>
      <c r="C672" s="4" t="s">
        <v>2486</v>
      </c>
      <c r="D672" s="4" t="s">
        <v>18</v>
      </c>
      <c r="E672" s="4" t="s">
        <v>17</v>
      </c>
      <c r="F672" s="4" t="s">
        <v>2485</v>
      </c>
      <c r="G672" s="19" t="str">
        <f>HYPERLINK("https://indianexpress.com/article/cities/mumbai/animal-group-claims-organisers-chained-elephants-flouted-law/","News")</f>
        <v>News</v>
      </c>
      <c r="H672" s="6" t="s">
        <v>3</v>
      </c>
      <c r="I672" s="5" t="s">
        <v>305</v>
      </c>
      <c r="J672" s="5" t="s">
        <v>2431</v>
      </c>
      <c r="K672" s="5" t="s">
        <v>64</v>
      </c>
    </row>
    <row r="673" spans="2:11" ht="15.75" hidden="1" customHeight="1" x14ac:dyDescent="0.2">
      <c r="B673" s="4" t="s">
        <v>1435</v>
      </c>
      <c r="C673" s="4" t="s">
        <v>2484</v>
      </c>
      <c r="D673" s="4" t="s">
        <v>877</v>
      </c>
      <c r="E673" s="4" t="s">
        <v>23</v>
      </c>
      <c r="F673" s="4" t="s">
        <v>2483</v>
      </c>
      <c r="G673" s="19" t="str">
        <f>HYPERLINK("https://indiasendangered.com/bear-cub-saved-from-a-dancing-fate/","News")</f>
        <v>News</v>
      </c>
      <c r="H673" s="6" t="s">
        <v>3</v>
      </c>
      <c r="I673" s="5" t="s">
        <v>305</v>
      </c>
      <c r="J673" s="5" t="s">
        <v>1436</v>
      </c>
      <c r="K673" s="5" t="s">
        <v>879</v>
      </c>
    </row>
    <row r="674" spans="2:11" ht="15.75" hidden="1" customHeight="1" x14ac:dyDescent="0.2">
      <c r="B674" s="4" t="s">
        <v>1435</v>
      </c>
      <c r="C674" s="4" t="s">
        <v>2363</v>
      </c>
      <c r="D674" s="4" t="s">
        <v>97</v>
      </c>
      <c r="E674" s="4" t="s">
        <v>5</v>
      </c>
      <c r="F674" s="4" t="s">
        <v>2482</v>
      </c>
      <c r="G674" s="19" t="str">
        <f>HYPERLINK("https://www.deccanherald.com/content/215690/cock-fight-rage-odisha.html","News")</f>
        <v>News</v>
      </c>
      <c r="H674" s="6" t="s">
        <v>3</v>
      </c>
      <c r="I674" s="5" t="s">
        <v>305</v>
      </c>
      <c r="J674" s="5" t="s">
        <v>1700</v>
      </c>
      <c r="K674" s="5" t="s">
        <v>1518</v>
      </c>
    </row>
    <row r="675" spans="2:11" ht="15.75" hidden="1" customHeight="1" x14ac:dyDescent="0.2">
      <c r="B675" s="4" t="s">
        <v>1435</v>
      </c>
      <c r="C675" s="6"/>
      <c r="D675" s="4" t="s">
        <v>150</v>
      </c>
      <c r="E675" s="4" t="s">
        <v>5</v>
      </c>
      <c r="F675" s="4" t="s">
        <v>2481</v>
      </c>
      <c r="G675" s="19" t="str">
        <f>HYPERLINK("http://bwc-india.org/Web/Awareness/LearnAbout/AnimalsinEntertainment.html","BWC")</f>
        <v>BWC</v>
      </c>
      <c r="H675" s="6" t="s">
        <v>272</v>
      </c>
      <c r="I675" s="5" t="s">
        <v>305</v>
      </c>
      <c r="J675" s="5" t="s">
        <v>1480</v>
      </c>
      <c r="K675" s="5" t="s">
        <v>367</v>
      </c>
    </row>
    <row r="676" spans="2:11" ht="15.75" hidden="1" customHeight="1" x14ac:dyDescent="0.2">
      <c r="B676" s="4" t="s">
        <v>1435</v>
      </c>
      <c r="C676" s="6"/>
      <c r="D676" s="4" t="s">
        <v>150</v>
      </c>
      <c r="E676" s="3" t="s">
        <v>5</v>
      </c>
      <c r="F676" s="4" t="s">
        <v>2480</v>
      </c>
      <c r="G676" s="19" t="str">
        <f>HYPERLINK("https://www.livemint.com/Leisure/93ktKx56Al4QmwR8994XFP/Monkey-business.html","News")</f>
        <v>News</v>
      </c>
      <c r="H676" s="6" t="s">
        <v>3</v>
      </c>
      <c r="I676" s="5" t="s">
        <v>305</v>
      </c>
      <c r="J676" s="5" t="s">
        <v>1439</v>
      </c>
      <c r="K676" s="5" t="s">
        <v>955</v>
      </c>
    </row>
    <row r="677" spans="2:11" ht="15.75" hidden="1" customHeight="1" x14ac:dyDescent="0.2">
      <c r="B677" s="4" t="s">
        <v>1435</v>
      </c>
      <c r="C677" s="4" t="s">
        <v>2479</v>
      </c>
      <c r="D677" s="4" t="s">
        <v>18</v>
      </c>
      <c r="E677" s="4" t="s">
        <v>17</v>
      </c>
      <c r="F677" s="4" t="s">
        <v>2478</v>
      </c>
      <c r="G677" s="19" t="s">
        <v>3</v>
      </c>
      <c r="H677" s="6" t="s">
        <v>3</v>
      </c>
      <c r="I677" s="5" t="s">
        <v>305</v>
      </c>
      <c r="J677" s="5" t="s">
        <v>1436</v>
      </c>
      <c r="K677" s="5" t="s">
        <v>85</v>
      </c>
    </row>
    <row r="678" spans="2:11" ht="15.75" hidden="1" customHeight="1" x14ac:dyDescent="0.2">
      <c r="B678" s="4" t="s">
        <v>1435</v>
      </c>
      <c r="C678" s="4" t="s">
        <v>104</v>
      </c>
      <c r="D678" s="4" t="s">
        <v>18</v>
      </c>
      <c r="E678" s="4" t="s">
        <v>5</v>
      </c>
      <c r="F678" s="4" t="s">
        <v>2477</v>
      </c>
      <c r="G678" s="19" t="str">
        <f>HYPERLINK("https://www.telegraphindia.com/india/horse-carriages-face-whip-animal-deaths-provoke-ban-cry-in-mumbai/cid/400240","News")</f>
        <v>News</v>
      </c>
      <c r="H678" s="6" t="s">
        <v>3</v>
      </c>
      <c r="I678" s="5" t="s">
        <v>305</v>
      </c>
      <c r="J678" s="5" t="s">
        <v>2059</v>
      </c>
      <c r="K678" s="5" t="s">
        <v>1430</v>
      </c>
    </row>
    <row r="679" spans="2:11" ht="15.75" hidden="1" customHeight="1" x14ac:dyDescent="0.2">
      <c r="B679" s="4" t="s">
        <v>1435</v>
      </c>
      <c r="C679" s="4" t="s">
        <v>954</v>
      </c>
      <c r="D679" s="4" t="s">
        <v>28</v>
      </c>
      <c r="E679" s="4" t="s">
        <v>5</v>
      </c>
      <c r="F679" s="4" t="s">
        <v>2476</v>
      </c>
      <c r="G679" s="19" t="str">
        <f>HYPERLINK("https://indianexpress.com/article/cities/ahmedabad/old-vadodara-still-eggs-on-cocks-to-fight-but-not-to-kill/","News")</f>
        <v>News</v>
      </c>
      <c r="H679" s="6" t="s">
        <v>3</v>
      </c>
      <c r="I679" s="5" t="s">
        <v>305</v>
      </c>
      <c r="J679" s="5" t="s">
        <v>1700</v>
      </c>
      <c r="K679" s="5" t="s">
        <v>1518</v>
      </c>
    </row>
    <row r="680" spans="2:11" ht="15.75" hidden="1" customHeight="1" x14ac:dyDescent="0.2">
      <c r="B680" s="4" t="s">
        <v>1435</v>
      </c>
      <c r="C680" s="6" t="s">
        <v>1597</v>
      </c>
      <c r="D680" s="4" t="s">
        <v>77</v>
      </c>
      <c r="E680" s="4" t="s">
        <v>23</v>
      </c>
      <c r="F680" s="4" t="s">
        <v>2475</v>
      </c>
      <c r="G680" s="19" t="str">
        <f>HYPERLINK("https://indianexpress.com/article/cities/mumbai/implement-ban-on-jallikattu/","News")</f>
        <v>News</v>
      </c>
      <c r="H680" s="6" t="s">
        <v>3</v>
      </c>
      <c r="I680" s="5" t="s">
        <v>305</v>
      </c>
      <c r="J680" s="5" t="s">
        <v>1700</v>
      </c>
      <c r="K680" s="5" t="s">
        <v>34</v>
      </c>
    </row>
    <row r="681" spans="2:11" ht="15.75" hidden="1" customHeight="1" x14ac:dyDescent="0.2">
      <c r="B681" s="4" t="s">
        <v>1435</v>
      </c>
      <c r="C681" s="4" t="s">
        <v>2474</v>
      </c>
      <c r="D681" s="4" t="s">
        <v>77</v>
      </c>
      <c r="E681" s="4" t="s">
        <v>5</v>
      </c>
      <c r="F681" s="4" t="s">
        <v>2473</v>
      </c>
      <c r="G681" s="19" t="str">
        <f>HYPERLINK("https://www.ndtv.com/assembly-tamil-nadu/thousands-witness-bullock-cart-race-on-kaanum-pongal-568195","News")</f>
        <v>News</v>
      </c>
      <c r="H681" s="6" t="s">
        <v>3</v>
      </c>
      <c r="I681" s="5" t="s">
        <v>305</v>
      </c>
      <c r="J681" s="5" t="s">
        <v>1700</v>
      </c>
      <c r="K681" s="5" t="s">
        <v>34</v>
      </c>
    </row>
    <row r="682" spans="2:11" ht="15.75" hidden="1" customHeight="1" x14ac:dyDescent="0.2">
      <c r="B682" s="4" t="s">
        <v>1435</v>
      </c>
      <c r="C682" s="4" t="s">
        <v>2472</v>
      </c>
      <c r="D682" s="4" t="s">
        <v>267</v>
      </c>
      <c r="E682" s="4" t="s">
        <v>5</v>
      </c>
      <c r="F682" s="4" t="s">
        <v>2471</v>
      </c>
      <c r="G682" s="19" t="str">
        <f>HYPERLINK("https://indianexpress.com/article/cities/mumbai/implement-ban-on-jallikattu/","News")</f>
        <v>News</v>
      </c>
      <c r="H682" s="6" t="s">
        <v>3</v>
      </c>
      <c r="I682" s="5" t="s">
        <v>305</v>
      </c>
      <c r="J682" s="5" t="s">
        <v>1700</v>
      </c>
      <c r="K682" s="5" t="s">
        <v>34</v>
      </c>
    </row>
    <row r="683" spans="2:11" ht="15.75" hidden="1" customHeight="1" x14ac:dyDescent="0.2">
      <c r="B683" s="4" t="s">
        <v>1435</v>
      </c>
      <c r="C683" s="4" t="s">
        <v>2470</v>
      </c>
      <c r="D683" s="4" t="s">
        <v>317</v>
      </c>
      <c r="E683" s="4" t="s">
        <v>159</v>
      </c>
      <c r="F683" s="4" t="s">
        <v>2469</v>
      </c>
      <c r="G683" s="19" t="str">
        <f>HYPERLINK("http://theshillongtimes.com/2012/02/02/illegal-activities-in-jh-bullfights-and-gambling/","News")</f>
        <v>News</v>
      </c>
      <c r="H683" s="6" t="s">
        <v>3</v>
      </c>
      <c r="I683" s="5" t="s">
        <v>305</v>
      </c>
      <c r="J683" s="5" t="s">
        <v>1700</v>
      </c>
      <c r="K683" s="5" t="s">
        <v>34</v>
      </c>
    </row>
    <row r="684" spans="2:11" ht="15.75" hidden="1" customHeight="1" x14ac:dyDescent="0.2">
      <c r="B684" s="4" t="s">
        <v>1435</v>
      </c>
      <c r="C684" s="4" t="s">
        <v>2468</v>
      </c>
      <c r="D684" s="4" t="s">
        <v>18</v>
      </c>
      <c r="E684" s="4" t="s">
        <v>159</v>
      </c>
      <c r="F684" s="4" t="s">
        <v>2467</v>
      </c>
      <c r="G684" s="4" t="s">
        <v>177</v>
      </c>
      <c r="H684" s="6" t="s">
        <v>272</v>
      </c>
      <c r="I684" s="5" t="s">
        <v>305</v>
      </c>
      <c r="J684" s="5" t="s">
        <v>2059</v>
      </c>
      <c r="K684" s="5" t="s">
        <v>1430</v>
      </c>
    </row>
    <row r="685" spans="2:11" ht="15.75" hidden="1" customHeight="1" x14ac:dyDescent="0.2">
      <c r="B685" s="4" t="s">
        <v>1435</v>
      </c>
      <c r="C685" s="4" t="s">
        <v>104</v>
      </c>
      <c r="D685" s="4" t="s">
        <v>18</v>
      </c>
      <c r="E685" s="4" t="s">
        <v>5</v>
      </c>
      <c r="F685" s="4" t="s">
        <v>2466</v>
      </c>
      <c r="G685" s="19" t="str">
        <f>HYPERLINK("https://www.telegraphindia.com/india/horse-carriages-face-whip-animal-deaths-provoke-ban-cry-in-mumbai/cid/400240","News")</f>
        <v>News</v>
      </c>
      <c r="H685" s="6" t="s">
        <v>3</v>
      </c>
      <c r="I685" s="5" t="s">
        <v>305</v>
      </c>
      <c r="J685" s="5" t="s">
        <v>2059</v>
      </c>
      <c r="K685" s="5" t="s">
        <v>1430</v>
      </c>
    </row>
    <row r="686" spans="2:11" ht="15.75" hidden="1" customHeight="1" x14ac:dyDescent="0.2">
      <c r="B686" s="4" t="s">
        <v>1435</v>
      </c>
      <c r="C686" s="6"/>
      <c r="D686" s="4" t="s">
        <v>150</v>
      </c>
      <c r="E686" s="4" t="s">
        <v>5</v>
      </c>
      <c r="F686" s="4" t="s">
        <v>2465</v>
      </c>
      <c r="G686" s="19" t="s">
        <v>3</v>
      </c>
      <c r="H686" s="6" t="s">
        <v>3</v>
      </c>
      <c r="I686" s="5" t="s">
        <v>305</v>
      </c>
      <c r="J686" s="5" t="s">
        <v>1915</v>
      </c>
      <c r="K686" s="5" t="s">
        <v>373</v>
      </c>
    </row>
    <row r="687" spans="2:11" ht="15.75" hidden="1" customHeight="1" x14ac:dyDescent="0.2">
      <c r="B687" s="4" t="s">
        <v>1435</v>
      </c>
      <c r="C687" s="6"/>
      <c r="D687" s="4" t="s">
        <v>66</v>
      </c>
      <c r="E687" s="4" t="s">
        <v>5</v>
      </c>
      <c r="F687" s="4" t="s">
        <v>2464</v>
      </c>
      <c r="G687" s="19" t="str">
        <f>HYPERLINK("https://www.news18.com/news/india/coconut-plucking-is-monkey-business-in-kerala-469895.html","News")</f>
        <v>News</v>
      </c>
      <c r="H687" s="6" t="s">
        <v>3</v>
      </c>
      <c r="I687" s="5" t="s">
        <v>305</v>
      </c>
      <c r="J687" s="5" t="s">
        <v>1439</v>
      </c>
      <c r="K687" s="5" t="s">
        <v>19</v>
      </c>
    </row>
    <row r="688" spans="2:11" ht="15.75" hidden="1" customHeight="1" x14ac:dyDescent="0.2">
      <c r="B688" s="4" t="s">
        <v>1435</v>
      </c>
      <c r="C688" s="4" t="s">
        <v>104</v>
      </c>
      <c r="D688" s="4" t="s">
        <v>18</v>
      </c>
      <c r="E688" s="4" t="s">
        <v>23</v>
      </c>
      <c r="F688" s="4" t="s">
        <v>2463</v>
      </c>
      <c r="G688" s="19" t="str">
        <f>HYPERLINK("https://indianexpress.com/article/cities/mumbai/couple-report-illegal-horse-cart-race-at-midnight/","News")</f>
        <v>News</v>
      </c>
      <c r="H688" s="6" t="s">
        <v>3</v>
      </c>
      <c r="I688" s="5" t="s">
        <v>305</v>
      </c>
      <c r="J688" s="5" t="s">
        <v>1700</v>
      </c>
      <c r="K688" s="5" t="s">
        <v>1430</v>
      </c>
    </row>
    <row r="689" spans="2:11" ht="15.75" hidden="1" customHeight="1" x14ac:dyDescent="0.2">
      <c r="B689" s="4" t="s">
        <v>1435</v>
      </c>
      <c r="C689" s="4" t="s">
        <v>2462</v>
      </c>
      <c r="D689" s="4" t="s">
        <v>66</v>
      </c>
      <c r="E689" s="4" t="s">
        <v>17</v>
      </c>
      <c r="F689" s="4" t="s">
        <v>2461</v>
      </c>
      <c r="G689" s="19" t="str">
        <f>HYPERLINK("https://www.newindianexpress.com/cities/kochi/2011/mar/13/bullock-cart-race-held-235119.html","News")</f>
        <v>News</v>
      </c>
      <c r="H689" s="6" t="s">
        <v>3</v>
      </c>
      <c r="I689" s="5" t="s">
        <v>305</v>
      </c>
      <c r="J689" s="5" t="s">
        <v>1700</v>
      </c>
      <c r="K689" s="5" t="s">
        <v>34</v>
      </c>
    </row>
    <row r="690" spans="2:11" ht="15.75" hidden="1" customHeight="1" x14ac:dyDescent="0.2">
      <c r="B690" s="4" t="s">
        <v>1435</v>
      </c>
      <c r="C690" s="4" t="s">
        <v>89</v>
      </c>
      <c r="D690" s="4" t="s">
        <v>88</v>
      </c>
      <c r="E690" s="4" t="s">
        <v>5</v>
      </c>
      <c r="F690" s="4" t="s">
        <v>2460</v>
      </c>
      <c r="G690" s="19" t="str">
        <f>HYPERLINK("https://www.deccanherald.com/content/251516/67-animals-died-wb-zoo.html","News")</f>
        <v>News</v>
      </c>
      <c r="H690" s="6" t="s">
        <v>3</v>
      </c>
      <c r="I690" s="5" t="s">
        <v>305</v>
      </c>
      <c r="J690" s="5" t="s">
        <v>1436</v>
      </c>
      <c r="K690" s="5" t="s">
        <v>204</v>
      </c>
    </row>
    <row r="691" spans="2:11" ht="15.75" hidden="1" customHeight="1" x14ac:dyDescent="0.2">
      <c r="B691" s="4" t="s">
        <v>1435</v>
      </c>
      <c r="C691" s="6"/>
      <c r="D691" s="6"/>
      <c r="E691" s="4" t="s">
        <v>5</v>
      </c>
      <c r="F691" s="4" t="s">
        <v>2459</v>
      </c>
      <c r="G691" s="19" t="s">
        <v>3</v>
      </c>
      <c r="H691" s="6" t="s">
        <v>3</v>
      </c>
      <c r="I691" s="5" t="s">
        <v>305</v>
      </c>
      <c r="J691" s="5" t="s">
        <v>1436</v>
      </c>
      <c r="K691" s="5" t="s">
        <v>2458</v>
      </c>
    </row>
    <row r="692" spans="2:11" ht="15.75" hidden="1" customHeight="1" x14ac:dyDescent="0.2">
      <c r="B692" s="4" t="s">
        <v>1435</v>
      </c>
      <c r="C692" s="4" t="s">
        <v>2457</v>
      </c>
      <c r="D692" s="4" t="s">
        <v>18</v>
      </c>
      <c r="E692" s="27" t="s">
        <v>27</v>
      </c>
      <c r="F692" s="4" t="s">
        <v>2456</v>
      </c>
      <c r="G692" s="19" t="str">
        <f>HYPERLINK("https://indianexpress.com/article/cities/mumbai/racing-against-ban/","News")</f>
        <v>News</v>
      </c>
      <c r="H692" s="6" t="s">
        <v>3</v>
      </c>
      <c r="I692" s="5" t="s">
        <v>305</v>
      </c>
      <c r="J692" s="5" t="s">
        <v>1700</v>
      </c>
      <c r="K692" s="5" t="s">
        <v>34</v>
      </c>
    </row>
    <row r="693" spans="2:11" ht="15.75" hidden="1" customHeight="1" x14ac:dyDescent="0.2">
      <c r="B693" s="4" t="s">
        <v>1435</v>
      </c>
      <c r="C693" s="6" t="s">
        <v>1434</v>
      </c>
      <c r="D693" s="4" t="s">
        <v>94</v>
      </c>
      <c r="E693" s="4" t="s">
        <v>159</v>
      </c>
      <c r="F693" s="4" t="s">
        <v>2455</v>
      </c>
      <c r="G693" s="19" t="s">
        <v>3</v>
      </c>
      <c r="H693" s="6" t="s">
        <v>3</v>
      </c>
      <c r="I693" s="5" t="s">
        <v>305</v>
      </c>
      <c r="J693" s="5" t="s">
        <v>1700</v>
      </c>
      <c r="K693" s="5" t="s">
        <v>64</v>
      </c>
    </row>
    <row r="694" spans="2:11" ht="15.75" hidden="1" customHeight="1" x14ac:dyDescent="0.2">
      <c r="B694" s="4" t="s">
        <v>1435</v>
      </c>
      <c r="C694" s="4" t="s">
        <v>1222</v>
      </c>
      <c r="D694" s="4" t="s">
        <v>77</v>
      </c>
      <c r="E694" s="4" t="s">
        <v>17</v>
      </c>
      <c r="F694" s="4" t="s">
        <v>2454</v>
      </c>
      <c r="G694" s="14" t="s">
        <v>3</v>
      </c>
      <c r="H694" s="6" t="s">
        <v>3</v>
      </c>
      <c r="I694" s="5" t="s">
        <v>305</v>
      </c>
      <c r="J694" s="5" t="s">
        <v>1700</v>
      </c>
      <c r="K694" s="5" t="s">
        <v>1874</v>
      </c>
    </row>
    <row r="695" spans="2:11" ht="15.75" hidden="1" customHeight="1" x14ac:dyDescent="0.2">
      <c r="B695" s="4" t="s">
        <v>1435</v>
      </c>
      <c r="C695" s="4" t="s">
        <v>104</v>
      </c>
      <c r="D695" s="4" t="s">
        <v>18</v>
      </c>
      <c r="E695" s="4" t="s">
        <v>55</v>
      </c>
      <c r="F695" s="4" t="s">
        <v>2453</v>
      </c>
      <c r="G695" s="19" t="str">
        <f>HYPERLINK("https://indianexpress.com/article/india/india-others-do-not-use/3-victoria-carriage-drivers-booked-for-overloading/","News")</f>
        <v>News</v>
      </c>
      <c r="H695" s="6" t="s">
        <v>3</v>
      </c>
      <c r="I695" s="5" t="s">
        <v>305</v>
      </c>
      <c r="J695" s="5" t="s">
        <v>2059</v>
      </c>
      <c r="K695" s="5" t="s">
        <v>1430</v>
      </c>
    </row>
    <row r="696" spans="2:11" ht="15.75" hidden="1" customHeight="1" x14ac:dyDescent="0.2">
      <c r="B696" s="4" t="s">
        <v>1435</v>
      </c>
      <c r="C696" s="6"/>
      <c r="D696" s="6"/>
      <c r="E696" s="4" t="s">
        <v>17</v>
      </c>
      <c r="F696" s="4" t="s">
        <v>2452</v>
      </c>
      <c r="G696" s="19" t="str">
        <f>HYPERLINK("https://indianexpress.com/article/india/india-others-do-not-use/dont-show-cruelty-to-animals-broadcast-watchdog-to-channels/","News")</f>
        <v>News</v>
      </c>
      <c r="H696" s="6" t="s">
        <v>3</v>
      </c>
      <c r="I696" s="5" t="s">
        <v>305</v>
      </c>
      <c r="J696" s="5" t="s">
        <v>1436</v>
      </c>
      <c r="K696" s="5" t="s">
        <v>204</v>
      </c>
    </row>
    <row r="697" spans="2:11" ht="15.75" hidden="1" customHeight="1" x14ac:dyDescent="0.2">
      <c r="B697" s="4" t="s">
        <v>1435</v>
      </c>
      <c r="C697" s="4" t="s">
        <v>137</v>
      </c>
      <c r="D697" s="4" t="s">
        <v>71</v>
      </c>
      <c r="E697" s="4" t="s">
        <v>17</v>
      </c>
      <c r="F697" s="4" t="s">
        <v>2451</v>
      </c>
      <c r="G697" s="19" t="str">
        <f>HYPERLINK("https://www.youtube.com/watch?v=q-OAtYAM9kQ","Youtube")</f>
        <v>Youtube</v>
      </c>
      <c r="H697" s="6" t="s">
        <v>3</v>
      </c>
      <c r="I697" s="5" t="s">
        <v>305</v>
      </c>
      <c r="J697" s="5" t="s">
        <v>1439</v>
      </c>
      <c r="K697" s="5" t="s">
        <v>955</v>
      </c>
    </row>
    <row r="698" spans="2:11" ht="15.75" hidden="1" customHeight="1" x14ac:dyDescent="0.2">
      <c r="B698" s="4" t="s">
        <v>1435</v>
      </c>
      <c r="C698" s="4" t="s">
        <v>2450</v>
      </c>
      <c r="D698" s="4" t="s">
        <v>150</v>
      </c>
      <c r="E698" s="4" t="s">
        <v>23</v>
      </c>
      <c r="F698" s="4" t="s">
        <v>2449</v>
      </c>
      <c r="G698" s="19" t="str">
        <f>HYPERLINK("https://www.youtube.com/watch?v=xpohM3cQiRM","Youtube")</f>
        <v>Youtube</v>
      </c>
      <c r="H698" s="6" t="s">
        <v>3</v>
      </c>
      <c r="I698" s="5" t="s">
        <v>305</v>
      </c>
      <c r="J698" s="5" t="s">
        <v>1436</v>
      </c>
      <c r="K698" s="5" t="s">
        <v>19</v>
      </c>
    </row>
    <row r="699" spans="2:11" ht="15.75" hidden="1" customHeight="1" x14ac:dyDescent="0.2">
      <c r="B699" s="4" t="s">
        <v>1435</v>
      </c>
      <c r="C699" s="4" t="s">
        <v>104</v>
      </c>
      <c r="D699" s="4" t="s">
        <v>18</v>
      </c>
      <c r="E699" s="4" t="s">
        <v>55</v>
      </c>
      <c r="F699" s="4" t="s">
        <v>2448</v>
      </c>
      <c r="G699" s="19" t="str">
        <f>HYPERLINK("https://timesofindia.indiatimes.com/city/mumbai/Victoria-horse-collapses-near-Gateway/articleshow/11430413.cms","News")</f>
        <v>News</v>
      </c>
      <c r="H699" s="6" t="s">
        <v>3</v>
      </c>
      <c r="I699" s="5" t="s">
        <v>305</v>
      </c>
      <c r="J699" s="5" t="s">
        <v>2059</v>
      </c>
      <c r="K699" s="5" t="s">
        <v>1430</v>
      </c>
    </row>
    <row r="700" spans="2:11" ht="15.75" hidden="1" customHeight="1" x14ac:dyDescent="0.2">
      <c r="B700" s="4" t="s">
        <v>1435</v>
      </c>
      <c r="C700" s="6"/>
      <c r="D700" s="4" t="s">
        <v>150</v>
      </c>
      <c r="E700" s="4" t="s">
        <v>17</v>
      </c>
      <c r="F700" s="4" t="s">
        <v>2447</v>
      </c>
      <c r="G700" s="19" t="s">
        <v>2446</v>
      </c>
      <c r="H700" s="6" t="s">
        <v>272</v>
      </c>
      <c r="I700" s="5" t="s">
        <v>305</v>
      </c>
      <c r="J700" s="5" t="s">
        <v>2059</v>
      </c>
      <c r="K700" s="5" t="s">
        <v>1430</v>
      </c>
    </row>
    <row r="701" spans="2:11" ht="15.75" hidden="1" customHeight="1" x14ac:dyDescent="0.2">
      <c r="B701" s="4" t="s">
        <v>1435</v>
      </c>
      <c r="C701" s="4" t="s">
        <v>104</v>
      </c>
      <c r="D701" s="4" t="s">
        <v>18</v>
      </c>
      <c r="E701" s="4" t="s">
        <v>23</v>
      </c>
      <c r="F701" s="4" t="s">
        <v>2445</v>
      </c>
      <c r="G701" s="19" t="str">
        <f>HYPERLINK("https://indianexpress.com/article/cities/mumbai/hurt-horse-gets-help/","News")</f>
        <v>News</v>
      </c>
      <c r="H701" s="6" t="s">
        <v>3</v>
      </c>
      <c r="I701" s="5" t="s">
        <v>305</v>
      </c>
      <c r="J701" s="5" t="s">
        <v>2059</v>
      </c>
      <c r="K701" s="5" t="s">
        <v>1430</v>
      </c>
    </row>
    <row r="702" spans="2:11" ht="15.75" hidden="1" customHeight="1" x14ac:dyDescent="0.2">
      <c r="B702" s="4" t="s">
        <v>1435</v>
      </c>
      <c r="C702" s="6"/>
      <c r="D702" s="4" t="s">
        <v>18</v>
      </c>
      <c r="E702" s="6" t="s">
        <v>17</v>
      </c>
      <c r="F702" s="4" t="s">
        <v>2444</v>
      </c>
      <c r="G702" s="19" t="str">
        <f>HYPERLINK("https://www.animalrahat.com/latest-news/bail-pola-often-the-epitome-of-irony-for-bullocks/","Animal Rahat")</f>
        <v>Animal Rahat</v>
      </c>
      <c r="H702" s="6" t="s">
        <v>1620</v>
      </c>
      <c r="I702" s="5" t="s">
        <v>305</v>
      </c>
      <c r="J702" s="5" t="s">
        <v>2431</v>
      </c>
      <c r="K702" s="5" t="s">
        <v>34</v>
      </c>
    </row>
    <row r="703" spans="2:11" ht="15.75" hidden="1" customHeight="1" x14ac:dyDescent="0.2">
      <c r="B703" s="4" t="s">
        <v>1435</v>
      </c>
      <c r="C703" s="6" t="s">
        <v>2443</v>
      </c>
      <c r="D703" s="4" t="s">
        <v>94</v>
      </c>
      <c r="E703" s="4" t="s">
        <v>17</v>
      </c>
      <c r="F703" s="4" t="s">
        <v>2442</v>
      </c>
      <c r="G703" s="19" t="str">
        <f>HYPERLINK("https://www.youtube.com/watch?v=Iyub_UWDz84","Youtube (CBS News)")</f>
        <v>Youtube (CBS News)</v>
      </c>
      <c r="H703" s="6" t="s">
        <v>3</v>
      </c>
      <c r="I703" s="5" t="s">
        <v>305</v>
      </c>
      <c r="J703" s="5" t="s">
        <v>1700</v>
      </c>
      <c r="K703" s="5" t="s">
        <v>840</v>
      </c>
    </row>
    <row r="704" spans="2:11" ht="15.75" hidden="1" customHeight="1" x14ac:dyDescent="0.2">
      <c r="B704" s="4" t="s">
        <v>1435</v>
      </c>
      <c r="C704" s="4" t="s">
        <v>137</v>
      </c>
      <c r="D704" s="4" t="s">
        <v>71</v>
      </c>
      <c r="E704" s="4" t="s">
        <v>159</v>
      </c>
      <c r="F704" s="4" t="s">
        <v>2441</v>
      </c>
      <c r="G704" s="19" t="str">
        <f>HYPERLINK("https://www.youtube.com/watch?v=azY7pJgygDs","Youtube")</f>
        <v>Youtube</v>
      </c>
      <c r="H704" s="6" t="s">
        <v>3</v>
      </c>
      <c r="I704" s="5" t="s">
        <v>305</v>
      </c>
      <c r="J704" s="5" t="s">
        <v>1700</v>
      </c>
      <c r="K704" s="5" t="s">
        <v>1430</v>
      </c>
    </row>
    <row r="705" spans="2:11" ht="15.75" hidden="1" customHeight="1" x14ac:dyDescent="0.2">
      <c r="B705" s="4" t="s">
        <v>1435</v>
      </c>
      <c r="C705" s="4" t="s">
        <v>1906</v>
      </c>
      <c r="D705" s="4" t="s">
        <v>94</v>
      </c>
      <c r="E705" s="4" t="s">
        <v>159</v>
      </c>
      <c r="F705" s="4" t="s">
        <v>2440</v>
      </c>
      <c r="G705" s="19" t="str">
        <f>HYPERLINK("https://www.telegraph.co.uk/travel/destinations/asia/india/galleries/The-Pushkar-Camel-Fair-in-Rajasthan-India/camel-race/","News")</f>
        <v>News</v>
      </c>
      <c r="H705" s="6" t="s">
        <v>3</v>
      </c>
      <c r="I705" s="5" t="s">
        <v>305</v>
      </c>
      <c r="J705" s="5" t="s">
        <v>1700</v>
      </c>
      <c r="K705" s="5" t="s">
        <v>840</v>
      </c>
    </row>
    <row r="706" spans="2:11" ht="15.75" hidden="1" customHeight="1" x14ac:dyDescent="0.2">
      <c r="B706" s="4" t="s">
        <v>1435</v>
      </c>
      <c r="C706" s="4" t="s">
        <v>313</v>
      </c>
      <c r="D706" s="4" t="s">
        <v>42</v>
      </c>
      <c r="E706" s="4" t="s">
        <v>17</v>
      </c>
      <c r="F706" s="4" t="s">
        <v>2439</v>
      </c>
      <c r="G706" s="4" t="s">
        <v>177</v>
      </c>
      <c r="H706" s="6" t="s">
        <v>272</v>
      </c>
      <c r="I706" s="5" t="s">
        <v>305</v>
      </c>
      <c r="J706" s="5" t="s">
        <v>2059</v>
      </c>
      <c r="K706" s="4" t="s">
        <v>840</v>
      </c>
    </row>
    <row r="707" spans="2:11" ht="15.75" hidden="1" customHeight="1" x14ac:dyDescent="0.2">
      <c r="B707" s="4" t="s">
        <v>1435</v>
      </c>
      <c r="C707" s="4" t="s">
        <v>201</v>
      </c>
      <c r="D707" s="4" t="s">
        <v>154</v>
      </c>
      <c r="E707" s="4" t="s">
        <v>17</v>
      </c>
      <c r="F707" s="4" t="s">
        <v>2438</v>
      </c>
      <c r="G707" s="19" t="str">
        <f>HYPERLINK("https://indianexpress.com/article/cities/chandigarh/dogs-race-on-as-ban-bars-bullocks/","News")</f>
        <v>News</v>
      </c>
      <c r="H707" s="6" t="s">
        <v>3</v>
      </c>
      <c r="I707" s="5" t="s">
        <v>305</v>
      </c>
      <c r="J707" s="5" t="s">
        <v>1700</v>
      </c>
      <c r="K707" s="5" t="s">
        <v>0</v>
      </c>
    </row>
    <row r="708" spans="2:11" ht="15.75" hidden="1" customHeight="1" x14ac:dyDescent="0.2">
      <c r="B708" s="4" t="s">
        <v>1435</v>
      </c>
      <c r="C708" s="4" t="s">
        <v>104</v>
      </c>
      <c r="D708" s="4" t="s">
        <v>18</v>
      </c>
      <c r="E708" s="4" t="s">
        <v>23</v>
      </c>
      <c r="F708" s="4" t="s">
        <v>2437</v>
      </c>
      <c r="G708" s="19" t="str">
        <f>HYPERLINK("https://timesofindia.indiatimes.com/city/mumbai/Bijlee-dies-activists-call-for-end-to-elephant-cruelty/articleshow/20850394.cms","News")</f>
        <v>News</v>
      </c>
      <c r="H708" s="6" t="s">
        <v>3</v>
      </c>
      <c r="I708" s="5" t="s">
        <v>305</v>
      </c>
      <c r="J708" s="5" t="s">
        <v>2059</v>
      </c>
      <c r="K708" s="5" t="s">
        <v>64</v>
      </c>
    </row>
    <row r="709" spans="2:11" ht="15.75" hidden="1" customHeight="1" x14ac:dyDescent="0.2">
      <c r="B709" s="4" t="s">
        <v>1435</v>
      </c>
      <c r="C709" s="4" t="s">
        <v>2436</v>
      </c>
      <c r="D709" s="4" t="s">
        <v>97</v>
      </c>
      <c r="E709" s="4" t="s">
        <v>17</v>
      </c>
      <c r="F709" s="4" t="s">
        <v>2435</v>
      </c>
      <c r="G709" s="4" t="s">
        <v>177</v>
      </c>
      <c r="H709" s="6" t="s">
        <v>272</v>
      </c>
      <c r="I709" s="5" t="s">
        <v>305</v>
      </c>
      <c r="J709" s="5" t="s">
        <v>1686</v>
      </c>
      <c r="K709" s="5" t="s">
        <v>2434</v>
      </c>
    </row>
    <row r="710" spans="2:11" ht="15.75" hidden="1" customHeight="1" x14ac:dyDescent="0.2">
      <c r="B710" s="4" t="s">
        <v>1435</v>
      </c>
      <c r="C710" s="4" t="s">
        <v>2433</v>
      </c>
      <c r="D710" s="4" t="s">
        <v>77</v>
      </c>
      <c r="E710" s="4" t="s">
        <v>17</v>
      </c>
      <c r="F710" s="4" t="s">
        <v>2432</v>
      </c>
      <c r="G710" s="4" t="s">
        <v>177</v>
      </c>
      <c r="H710" s="6" t="s">
        <v>272</v>
      </c>
      <c r="I710" s="5" t="s">
        <v>305</v>
      </c>
      <c r="J710" s="5" t="s">
        <v>2431</v>
      </c>
      <c r="K710" s="5" t="s">
        <v>2430</v>
      </c>
    </row>
    <row r="711" spans="2:11" ht="15.75" hidden="1" customHeight="1" x14ac:dyDescent="0.2">
      <c r="B711" s="4" t="s">
        <v>1435</v>
      </c>
      <c r="C711" s="4" t="s">
        <v>2429</v>
      </c>
      <c r="D711" s="4" t="s">
        <v>18</v>
      </c>
      <c r="E711" s="4" t="s">
        <v>55</v>
      </c>
      <c r="F711" s="4" t="s">
        <v>2428</v>
      </c>
      <c r="G711" s="19" t="str">
        <f>HYPERLINK("https://timesofindia.indiatimes.com/city/mumbai/Four-arrested-for-racing-horses-on-highway/articleshow/18011611.cms","News")</f>
        <v>News</v>
      </c>
      <c r="H711" s="6" t="s">
        <v>3</v>
      </c>
      <c r="I711" s="5" t="s">
        <v>305</v>
      </c>
      <c r="J711" s="5" t="s">
        <v>1700</v>
      </c>
      <c r="K711" s="5" t="s">
        <v>1430</v>
      </c>
    </row>
    <row r="712" spans="2:11" ht="15.75" hidden="1" customHeight="1" x14ac:dyDescent="0.2">
      <c r="B712" s="4" t="s">
        <v>1435</v>
      </c>
      <c r="C712" s="6" t="s">
        <v>1597</v>
      </c>
      <c r="D712" s="4" t="s">
        <v>77</v>
      </c>
      <c r="E712" s="4" t="s">
        <v>5</v>
      </c>
      <c r="F712" s="4" t="s">
        <v>2427</v>
      </c>
      <c r="G712" s="19" t="str">
        <f>HYPERLINK("https://www.petaindia.com/blog/bull-dies-jallikattu/","PETA India")</f>
        <v>PETA India</v>
      </c>
      <c r="H712" s="6" t="s">
        <v>272</v>
      </c>
      <c r="I712" s="5" t="s">
        <v>305</v>
      </c>
      <c r="J712" s="5" t="s">
        <v>1700</v>
      </c>
      <c r="K712" s="5" t="s">
        <v>34</v>
      </c>
    </row>
    <row r="713" spans="2:11" ht="15.75" hidden="1" customHeight="1" x14ac:dyDescent="0.2">
      <c r="B713" s="4" t="s">
        <v>1435</v>
      </c>
      <c r="C713" s="4" t="s">
        <v>271</v>
      </c>
      <c r="D713" s="4" t="s">
        <v>94</v>
      </c>
      <c r="E713" s="4" t="s">
        <v>17</v>
      </c>
      <c r="F713" s="4" t="s">
        <v>2426</v>
      </c>
      <c r="G713" s="19" t="s">
        <v>3</v>
      </c>
      <c r="H713" s="6" t="s">
        <v>3</v>
      </c>
      <c r="I713" s="5" t="s">
        <v>305</v>
      </c>
      <c r="J713" s="5" t="s">
        <v>1700</v>
      </c>
      <c r="K713" s="5" t="s">
        <v>1430</v>
      </c>
    </row>
    <row r="714" spans="2:11" ht="15.75" hidden="1" customHeight="1" x14ac:dyDescent="0.2">
      <c r="B714" s="4" t="s">
        <v>1435</v>
      </c>
      <c r="C714" s="6"/>
      <c r="D714" s="4" t="s">
        <v>1195</v>
      </c>
      <c r="E714" s="4" t="s">
        <v>17</v>
      </c>
      <c r="F714" s="4" t="s">
        <v>2425</v>
      </c>
      <c r="G714" s="19" t="str">
        <f>HYPERLINK("https://www.youtube.com/watch?v=ls38CdGacuI","Youtube")</f>
        <v>Youtube</v>
      </c>
      <c r="H714" s="6" t="s">
        <v>3</v>
      </c>
      <c r="I714" s="5" t="s">
        <v>305</v>
      </c>
      <c r="J714" s="5" t="s">
        <v>1700</v>
      </c>
      <c r="K714" s="5" t="s">
        <v>446</v>
      </c>
    </row>
    <row r="715" spans="2:11" ht="15.75" hidden="1" customHeight="1" x14ac:dyDescent="0.2">
      <c r="B715" s="4" t="s">
        <v>1435</v>
      </c>
      <c r="C715" s="4" t="s">
        <v>2424</v>
      </c>
      <c r="D715" s="4" t="s">
        <v>71</v>
      </c>
      <c r="E715" s="4" t="s">
        <v>17</v>
      </c>
      <c r="F715" s="4" t="s">
        <v>2423</v>
      </c>
      <c r="G715" s="19" t="str">
        <f>HYPERLINK("https://www.youtube.com/watch?v=FkE27_XG58o","Youtube")</f>
        <v>Youtube</v>
      </c>
      <c r="H715" s="6" t="s">
        <v>3</v>
      </c>
      <c r="I715" s="5" t="s">
        <v>305</v>
      </c>
      <c r="J715" s="5" t="s">
        <v>1439</v>
      </c>
      <c r="K715" s="5" t="s">
        <v>955</v>
      </c>
    </row>
    <row r="716" spans="2:11" ht="15.75" hidden="1" customHeight="1" x14ac:dyDescent="0.2">
      <c r="B716" s="4" t="s">
        <v>1435</v>
      </c>
      <c r="C716" s="4" t="s">
        <v>104</v>
      </c>
      <c r="D716" s="4" t="s">
        <v>18</v>
      </c>
      <c r="E716" s="4" t="s">
        <v>159</v>
      </c>
      <c r="F716" s="4" t="s">
        <v>2422</v>
      </c>
      <c r="G716" s="19" t="str">
        <f>HYPERLINK("https://timesofindia.indiatimes.com/city/mumbai/Ulema-call-for-Eid-sans-bullock-carts/articleshow/18157330.cms","News")</f>
        <v>News</v>
      </c>
      <c r="H716" s="6" t="s">
        <v>3</v>
      </c>
      <c r="I716" s="5" t="s">
        <v>305</v>
      </c>
      <c r="J716" s="5" t="s">
        <v>1686</v>
      </c>
      <c r="K716" s="5" t="s">
        <v>34</v>
      </c>
    </row>
    <row r="717" spans="2:11" ht="15.75" hidden="1" customHeight="1" x14ac:dyDescent="0.2">
      <c r="B717" s="4" t="s">
        <v>1435</v>
      </c>
      <c r="C717" s="6" t="s">
        <v>111</v>
      </c>
      <c r="D717" s="4" t="s">
        <v>24</v>
      </c>
      <c r="E717" s="4" t="s">
        <v>17</v>
      </c>
      <c r="F717" s="4" t="s">
        <v>2421</v>
      </c>
      <c r="G717" s="19" t="s">
        <v>3</v>
      </c>
      <c r="H717" s="6" t="s">
        <v>3</v>
      </c>
      <c r="I717" s="5" t="s">
        <v>305</v>
      </c>
      <c r="J717" s="5" t="s">
        <v>2373</v>
      </c>
      <c r="K717" s="5" t="s">
        <v>280</v>
      </c>
    </row>
    <row r="718" spans="2:11" ht="15.75" hidden="1" customHeight="1" x14ac:dyDescent="0.2">
      <c r="B718" s="4" t="s">
        <v>1435</v>
      </c>
      <c r="C718" s="4" t="s">
        <v>1986</v>
      </c>
      <c r="D718" s="4" t="s">
        <v>877</v>
      </c>
      <c r="E718" s="4" t="s">
        <v>17</v>
      </c>
      <c r="F718" s="4" t="s">
        <v>2420</v>
      </c>
      <c r="G718" s="19" t="str">
        <f>HYPERLINK("https://www.telegraphindia.com/states/jharkhand/camel-abuse-shames-city-without-shelter/cid/280775","News")</f>
        <v>News</v>
      </c>
      <c r="H718" s="6" t="s">
        <v>3</v>
      </c>
      <c r="I718" s="5" t="s">
        <v>305</v>
      </c>
      <c r="J718" s="5" t="s">
        <v>2059</v>
      </c>
      <c r="K718" s="5" t="s">
        <v>840</v>
      </c>
    </row>
    <row r="719" spans="2:11" ht="15.75" hidden="1" customHeight="1" x14ac:dyDescent="0.2">
      <c r="B719" s="4" t="s">
        <v>1435</v>
      </c>
      <c r="C719" s="4" t="s">
        <v>2419</v>
      </c>
      <c r="D719" s="6" t="s">
        <v>267</v>
      </c>
      <c r="E719" s="4" t="s">
        <v>17</v>
      </c>
      <c r="F719" s="4" t="s">
        <v>2418</v>
      </c>
      <c r="G719" s="19" t="str">
        <f>HYPERLINK("https://www.youtube.com/watch?v=SLBzahs7OnY","Youtube (News)")</f>
        <v>Youtube (News)</v>
      </c>
      <c r="H719" s="6" t="s">
        <v>3</v>
      </c>
      <c r="I719" s="5" t="s">
        <v>305</v>
      </c>
      <c r="J719" s="5" t="s">
        <v>1686</v>
      </c>
      <c r="K719" s="5" t="s">
        <v>639</v>
      </c>
    </row>
    <row r="720" spans="2:11" ht="15.75" hidden="1" customHeight="1" x14ac:dyDescent="0.2">
      <c r="B720" s="4" t="s">
        <v>1435</v>
      </c>
      <c r="C720" s="4" t="s">
        <v>426</v>
      </c>
      <c r="D720" s="4" t="s">
        <v>426</v>
      </c>
      <c r="E720" s="4" t="s">
        <v>159</v>
      </c>
      <c r="F720" s="4" t="s">
        <v>2417</v>
      </c>
      <c r="G720" s="19" t="str">
        <f>HYPERLINK("https://www.hindustantimes.com/chandigarh/height-of-disparity-pgi-s-langurs-draw-more-than-contractual-staff/story-Adiff2dwViCGFghu9vQfsM.html","News")</f>
        <v>News</v>
      </c>
      <c r="H720" s="6" t="s">
        <v>3</v>
      </c>
      <c r="I720" s="5" t="s">
        <v>305</v>
      </c>
      <c r="J720" s="5" t="s">
        <v>1439</v>
      </c>
      <c r="K720" s="5" t="s">
        <v>955</v>
      </c>
    </row>
    <row r="721" spans="2:11" ht="15.75" hidden="1" customHeight="1" x14ac:dyDescent="0.2">
      <c r="B721" s="4" t="s">
        <v>1435</v>
      </c>
      <c r="C721" s="6"/>
      <c r="D721" s="4" t="s">
        <v>18</v>
      </c>
      <c r="E721" s="4" t="s">
        <v>17</v>
      </c>
      <c r="F721" s="4" t="s">
        <v>2416</v>
      </c>
      <c r="G721" s="19" t="str">
        <f>HYPERLINK("https://punemirror.indiatimes.com/pune/cover-story/activists-draw-the-finish-line-for-greyhound-races/articleshow/31228791.cms","News")</f>
        <v>News</v>
      </c>
      <c r="H721" s="6" t="s">
        <v>3</v>
      </c>
      <c r="I721" s="5" t="s">
        <v>305</v>
      </c>
      <c r="J721" s="5" t="s">
        <v>1528</v>
      </c>
      <c r="K721" s="5" t="s">
        <v>1527</v>
      </c>
    </row>
    <row r="722" spans="2:11" ht="15.75" hidden="1" customHeight="1" x14ac:dyDescent="0.2">
      <c r="B722" s="4" t="s">
        <v>1435</v>
      </c>
      <c r="C722" s="4" t="s">
        <v>1047</v>
      </c>
      <c r="D722" s="4" t="s">
        <v>42</v>
      </c>
      <c r="E722" s="4" t="s">
        <v>23</v>
      </c>
      <c r="F722" s="4" t="s">
        <v>2415</v>
      </c>
      <c r="G722" s="19" t="str">
        <f>HYPERLINK("https://www.youtube.com/watch?v=4fRWgyZguJM","News")</f>
        <v>News</v>
      </c>
      <c r="H722" s="6" t="s">
        <v>3</v>
      </c>
      <c r="I722" s="5" t="s">
        <v>305</v>
      </c>
      <c r="J722" s="5" t="s">
        <v>2289</v>
      </c>
      <c r="K722" s="5" t="s">
        <v>1430</v>
      </c>
    </row>
    <row r="723" spans="2:11" ht="15.75" hidden="1" customHeight="1" x14ac:dyDescent="0.2">
      <c r="B723" s="4" t="s">
        <v>1435</v>
      </c>
      <c r="C723" s="6"/>
      <c r="D723" s="6"/>
      <c r="E723" s="4" t="s">
        <v>5</v>
      </c>
      <c r="F723" s="4" t="s">
        <v>2414</v>
      </c>
      <c r="G723" s="19" t="s">
        <v>2413</v>
      </c>
      <c r="H723" s="6" t="s">
        <v>1301</v>
      </c>
      <c r="I723" s="5" t="s">
        <v>305</v>
      </c>
      <c r="J723" s="5" t="s">
        <v>1436</v>
      </c>
      <c r="K723" s="5" t="s">
        <v>0</v>
      </c>
    </row>
    <row r="724" spans="2:11" ht="15.75" hidden="1" customHeight="1" x14ac:dyDescent="0.2">
      <c r="B724" s="4" t="s">
        <v>1435</v>
      </c>
      <c r="C724" s="4" t="s">
        <v>271</v>
      </c>
      <c r="D724" s="4" t="s">
        <v>94</v>
      </c>
      <c r="E724" s="4" t="s">
        <v>17</v>
      </c>
      <c r="F724" s="4" t="s">
        <v>2412</v>
      </c>
      <c r="G724" s="4" t="s">
        <v>177</v>
      </c>
      <c r="H724" s="6" t="s">
        <v>272</v>
      </c>
      <c r="I724" s="5" t="s">
        <v>305</v>
      </c>
      <c r="J724" s="5" t="s">
        <v>1436</v>
      </c>
      <c r="K724" s="5" t="s">
        <v>840</v>
      </c>
    </row>
    <row r="725" spans="2:11" ht="15.75" hidden="1" customHeight="1" x14ac:dyDescent="0.2">
      <c r="B725" s="4" t="s">
        <v>1435</v>
      </c>
      <c r="C725" s="4" t="s">
        <v>1185</v>
      </c>
      <c r="D725" s="4" t="s">
        <v>66</v>
      </c>
      <c r="E725" s="4" t="s">
        <v>17</v>
      </c>
      <c r="F725" s="4" t="s">
        <v>2411</v>
      </c>
      <c r="G725" s="4" t="s">
        <v>177</v>
      </c>
      <c r="H725" s="6" t="s">
        <v>272</v>
      </c>
      <c r="I725" s="5" t="s">
        <v>305</v>
      </c>
      <c r="J725" s="5" t="s">
        <v>1436</v>
      </c>
      <c r="K725" s="5" t="s">
        <v>1680</v>
      </c>
    </row>
    <row r="726" spans="2:11" ht="15.75" hidden="1" customHeight="1" x14ac:dyDescent="0.2">
      <c r="B726" s="4" t="s">
        <v>1435</v>
      </c>
      <c r="C726" s="4" t="s">
        <v>2410</v>
      </c>
      <c r="D726" s="4" t="s">
        <v>18</v>
      </c>
      <c r="E726" s="4" t="s">
        <v>17</v>
      </c>
      <c r="F726" s="4" t="s">
        <v>2409</v>
      </c>
      <c r="G726" s="19" t="str">
        <f>HYPERLINK("https://www.petaindia.com/blog/bulls-abused-forced-race/","PETA India")</f>
        <v>PETA India</v>
      </c>
      <c r="H726" s="6" t="s">
        <v>272</v>
      </c>
      <c r="I726" s="5" t="s">
        <v>305</v>
      </c>
      <c r="J726" s="5" t="s">
        <v>1700</v>
      </c>
      <c r="K726" s="5" t="s">
        <v>34</v>
      </c>
    </row>
    <row r="727" spans="2:11" ht="15.75" hidden="1" customHeight="1" x14ac:dyDescent="0.2">
      <c r="B727" s="4" t="s">
        <v>1435</v>
      </c>
      <c r="C727" s="4" t="s">
        <v>95</v>
      </c>
      <c r="D727" s="4" t="s">
        <v>94</v>
      </c>
      <c r="E727" s="4" t="s">
        <v>17</v>
      </c>
      <c r="F727" s="4" t="s">
        <v>2408</v>
      </c>
      <c r="G727" s="19" t="str">
        <f>HYPERLINK("https://www.youtube.com/watch?v=BqYzb5uxC0A","Youtube")</f>
        <v>Youtube</v>
      </c>
      <c r="H727" s="6" t="s">
        <v>3</v>
      </c>
      <c r="I727" s="5" t="s">
        <v>305</v>
      </c>
      <c r="J727" s="5" t="s">
        <v>2407</v>
      </c>
      <c r="K727" s="5" t="s">
        <v>639</v>
      </c>
    </row>
    <row r="728" spans="2:11" ht="15.75" hidden="1" customHeight="1" x14ac:dyDescent="0.2">
      <c r="B728" s="4" t="s">
        <v>1435</v>
      </c>
      <c r="C728" s="6" t="s">
        <v>1222</v>
      </c>
      <c r="D728" s="4" t="s">
        <v>77</v>
      </c>
      <c r="E728" s="4" t="s">
        <v>17</v>
      </c>
      <c r="F728" s="4" t="s">
        <v>2406</v>
      </c>
      <c r="G728" s="19" t="s">
        <v>3</v>
      </c>
      <c r="H728" s="6" t="s">
        <v>3</v>
      </c>
      <c r="I728" s="5" t="s">
        <v>305</v>
      </c>
      <c r="J728" s="5" t="s">
        <v>1915</v>
      </c>
      <c r="K728" s="5" t="s">
        <v>1758</v>
      </c>
    </row>
    <row r="729" spans="2:11" ht="15.75" hidden="1" customHeight="1" x14ac:dyDescent="0.2">
      <c r="B729" s="4" t="s">
        <v>1435</v>
      </c>
      <c r="C729" s="4" t="s">
        <v>2405</v>
      </c>
      <c r="D729" s="4" t="s">
        <v>77</v>
      </c>
      <c r="E729" s="4" t="s">
        <v>17</v>
      </c>
      <c r="F729" s="4" t="s">
        <v>2404</v>
      </c>
      <c r="G729" s="19" t="str">
        <f>HYPERLINK("https://www.facebook.com/505331289511345/photos/a.505334962844311/608560265855113/?type=3&amp;theater","Facebook")</f>
        <v>Facebook</v>
      </c>
      <c r="H729" s="6" t="s">
        <v>11</v>
      </c>
      <c r="I729" s="5" t="s">
        <v>305</v>
      </c>
      <c r="J729" s="5" t="s">
        <v>50</v>
      </c>
      <c r="K729" s="5" t="s">
        <v>1430</v>
      </c>
    </row>
    <row r="730" spans="2:11" ht="15.75" hidden="1" customHeight="1" x14ac:dyDescent="0.2">
      <c r="B730" s="4" t="s">
        <v>1435</v>
      </c>
      <c r="C730" s="4" t="s">
        <v>2132</v>
      </c>
      <c r="D730" s="4" t="s">
        <v>71</v>
      </c>
      <c r="E730" s="4" t="s">
        <v>17</v>
      </c>
      <c r="F730" s="4" t="s">
        <v>2403</v>
      </c>
      <c r="G730" s="19" t="str">
        <f>HYPERLINK("https://www.youtube.com/watch?v=lR8krAVaQIw","Youtube")</f>
        <v>Youtube</v>
      </c>
      <c r="H730" s="6" t="s">
        <v>3</v>
      </c>
      <c r="I730" s="5" t="s">
        <v>305</v>
      </c>
      <c r="J730" s="5" t="s">
        <v>2059</v>
      </c>
      <c r="K730" s="5" t="s">
        <v>1430</v>
      </c>
    </row>
    <row r="731" spans="2:11" ht="15.75" hidden="1" customHeight="1" x14ac:dyDescent="0.2">
      <c r="B731" s="4" t="s">
        <v>1435</v>
      </c>
      <c r="C731" s="4" t="s">
        <v>2402</v>
      </c>
      <c r="D731" s="4" t="s">
        <v>94</v>
      </c>
      <c r="E731" s="3" t="s">
        <v>5</v>
      </c>
      <c r="F731" s="4" t="s">
        <v>2401</v>
      </c>
      <c r="G731" s="19" t="str">
        <f>HYPERLINK("https://www.youtube.com/watch?v=rXQqYlvwxlg","Youtube")</f>
        <v>Youtube</v>
      </c>
      <c r="H731" s="6" t="s">
        <v>3</v>
      </c>
      <c r="I731" s="5" t="s">
        <v>305</v>
      </c>
      <c r="J731" s="5" t="s">
        <v>50</v>
      </c>
      <c r="K731" s="5" t="s">
        <v>64</v>
      </c>
    </row>
    <row r="732" spans="2:11" ht="15.75" hidden="1" customHeight="1" x14ac:dyDescent="0.2">
      <c r="B732" s="4" t="s">
        <v>1435</v>
      </c>
      <c r="C732" s="6"/>
      <c r="D732" s="4" t="s">
        <v>236</v>
      </c>
      <c r="E732" s="4" t="s">
        <v>17</v>
      </c>
      <c r="F732" s="4" t="s">
        <v>2400</v>
      </c>
      <c r="G732" s="19" t="s">
        <v>1467</v>
      </c>
      <c r="H732" s="6" t="s">
        <v>11</v>
      </c>
      <c r="I732" s="5" t="s">
        <v>305</v>
      </c>
      <c r="J732" s="5" t="s">
        <v>2059</v>
      </c>
      <c r="K732" s="5" t="s">
        <v>34</v>
      </c>
    </row>
    <row r="733" spans="2:11" ht="15.75" hidden="1" customHeight="1" x14ac:dyDescent="0.2">
      <c r="B733" s="4" t="s">
        <v>1435</v>
      </c>
      <c r="C733" s="4" t="s">
        <v>2321</v>
      </c>
      <c r="D733" s="4" t="s">
        <v>77</v>
      </c>
      <c r="E733" s="4" t="s">
        <v>23</v>
      </c>
      <c r="F733" s="4" t="s">
        <v>2399</v>
      </c>
      <c r="G733" s="19" t="str">
        <f>HYPERLINK("https://www.facebook.com/bluecrossofindia/photos/a.421535982169/10152205604367170/?type=3","Facebook (Blue Cross of India)")</f>
        <v>Facebook (Blue Cross of India)</v>
      </c>
      <c r="H733" s="6" t="s">
        <v>272</v>
      </c>
      <c r="I733" s="5" t="s">
        <v>305</v>
      </c>
      <c r="J733" s="5" t="s">
        <v>2059</v>
      </c>
      <c r="K733" s="5" t="s">
        <v>19</v>
      </c>
    </row>
    <row r="734" spans="2:11" ht="15.75" hidden="1" customHeight="1" x14ac:dyDescent="0.2">
      <c r="B734" s="4" t="s">
        <v>1435</v>
      </c>
      <c r="C734" s="4" t="s">
        <v>507</v>
      </c>
      <c r="D734" s="4" t="s">
        <v>150</v>
      </c>
      <c r="E734" s="4" t="s">
        <v>81</v>
      </c>
      <c r="F734" s="4" t="s">
        <v>2398</v>
      </c>
      <c r="G734" s="20" t="str">
        <f>HYPERLINK("https://www.facebook.com/AllCreaturesGreatAndSmallIndia/posts/658412824221073","Social Media")</f>
        <v>Social Media</v>
      </c>
      <c r="H734" s="6" t="s">
        <v>11</v>
      </c>
      <c r="I734" s="5" t="s">
        <v>79</v>
      </c>
      <c r="J734" s="5" t="s">
        <v>82</v>
      </c>
      <c r="K734" s="5" t="s">
        <v>0</v>
      </c>
    </row>
    <row r="735" spans="2:11" ht="15.75" hidden="1" customHeight="1" x14ac:dyDescent="0.2">
      <c r="B735" s="4" t="s">
        <v>1435</v>
      </c>
      <c r="C735" s="4" t="s">
        <v>271</v>
      </c>
      <c r="D735" s="4" t="s">
        <v>94</v>
      </c>
      <c r="E735" s="4" t="s">
        <v>17</v>
      </c>
      <c r="F735" s="4" t="s">
        <v>2397</v>
      </c>
      <c r="G735" s="19" t="s">
        <v>3</v>
      </c>
      <c r="H735" s="6" t="s">
        <v>3</v>
      </c>
      <c r="I735" s="5" t="s">
        <v>305</v>
      </c>
      <c r="J735" s="5" t="s">
        <v>1700</v>
      </c>
      <c r="K735" s="5" t="s">
        <v>1430</v>
      </c>
    </row>
    <row r="736" spans="2:11" ht="15.75" hidden="1" customHeight="1" x14ac:dyDescent="0.2">
      <c r="B736" s="4" t="s">
        <v>1435</v>
      </c>
      <c r="C736" s="4" t="s">
        <v>2396</v>
      </c>
      <c r="D736" s="4" t="s">
        <v>154</v>
      </c>
      <c r="E736" s="4" t="s">
        <v>5</v>
      </c>
      <c r="F736" s="4" t="s">
        <v>2395</v>
      </c>
      <c r="G736" s="19" t="str">
        <f>HYPERLINK("https://www.petaindia.com/media/victory-following-peta-india-pressure-five-illegal-bull-races-stopped-across-punjab/","Peta India")</f>
        <v>Peta India</v>
      </c>
      <c r="H736" s="6" t="s">
        <v>272</v>
      </c>
      <c r="I736" s="5" t="s">
        <v>305</v>
      </c>
      <c r="J736" s="5" t="s">
        <v>1700</v>
      </c>
      <c r="K736" s="5" t="s">
        <v>34</v>
      </c>
    </row>
    <row r="737" spans="2:11" ht="15.75" hidden="1" customHeight="1" x14ac:dyDescent="0.2">
      <c r="B737" s="4" t="s">
        <v>1435</v>
      </c>
      <c r="C737" s="4" t="s">
        <v>1047</v>
      </c>
      <c r="D737" s="4" t="s">
        <v>42</v>
      </c>
      <c r="E737" s="4" t="s">
        <v>17</v>
      </c>
      <c r="F737" s="4" t="s">
        <v>2394</v>
      </c>
      <c r="G737" s="19" t="str">
        <f>HYPERLINK("https://www.hindustantimes.com/india/marital-hiss-catch-snakes-or-the-wedding-is-off/story-KAH6Npg8YLLca4VqAGeh9N.html","News")</f>
        <v>News</v>
      </c>
      <c r="H737" s="6" t="s">
        <v>3</v>
      </c>
      <c r="I737" s="5" t="s">
        <v>305</v>
      </c>
      <c r="J737" s="5" t="s">
        <v>1686</v>
      </c>
      <c r="K737" s="5" t="s">
        <v>509</v>
      </c>
    </row>
    <row r="738" spans="2:11" ht="15.75" hidden="1" customHeight="1" x14ac:dyDescent="0.2">
      <c r="B738" s="4" t="s">
        <v>1435</v>
      </c>
      <c r="C738" s="4" t="s">
        <v>201</v>
      </c>
      <c r="D738" s="4" t="s">
        <v>154</v>
      </c>
      <c r="E738" s="4" t="s">
        <v>17</v>
      </c>
      <c r="F738" s="4" t="s">
        <v>2393</v>
      </c>
      <c r="G738" s="19" t="str">
        <f>HYPERLINK("https://www.youtube.com/watch?v=U8bsBWiHp7s","Youtube")</f>
        <v>Youtube</v>
      </c>
      <c r="H738" s="6" t="s">
        <v>3</v>
      </c>
      <c r="I738" s="5" t="s">
        <v>305</v>
      </c>
      <c r="J738" s="5" t="s">
        <v>1700</v>
      </c>
      <c r="K738" s="5" t="s">
        <v>639</v>
      </c>
    </row>
    <row r="739" spans="2:11" ht="15.75" hidden="1" customHeight="1" x14ac:dyDescent="0.2">
      <c r="B739" s="4" t="s">
        <v>1435</v>
      </c>
      <c r="C739" s="4" t="s">
        <v>426</v>
      </c>
      <c r="D739" s="4" t="s">
        <v>426</v>
      </c>
      <c r="E739" s="4" t="s">
        <v>5</v>
      </c>
      <c r="F739" s="4" t="s">
        <v>2392</v>
      </c>
      <c r="G739" s="14" t="str">
        <f>HYPERLINK("https://www.hindustantimes.com/chandigarh/banned-langurs-continue-for-monkey-business/story-GcaIHVh2rJseJL0tGCj0QM.html","News")</f>
        <v>News</v>
      </c>
      <c r="H739" s="6" t="s">
        <v>3</v>
      </c>
      <c r="I739" s="5" t="s">
        <v>305</v>
      </c>
      <c r="J739" s="5" t="s">
        <v>1439</v>
      </c>
      <c r="K739" s="5" t="s">
        <v>955</v>
      </c>
    </row>
    <row r="740" spans="2:11" ht="15.75" hidden="1" customHeight="1" x14ac:dyDescent="0.2">
      <c r="B740" s="4" t="s">
        <v>1435</v>
      </c>
      <c r="C740" s="4" t="s">
        <v>2391</v>
      </c>
      <c r="D740" s="4" t="s">
        <v>77</v>
      </c>
      <c r="E740" s="4" t="s">
        <v>5</v>
      </c>
      <c r="F740" s="4" t="s">
        <v>2390</v>
      </c>
      <c r="G740" s="19" t="str">
        <f>HYPERLINK("https://www.facebook.com/bluecrossofindia/photos/a.421535982169/10152292522767170/?type=3","Facebook")</f>
        <v>Facebook</v>
      </c>
      <c r="H740" s="6" t="s">
        <v>11</v>
      </c>
      <c r="I740" s="5" t="s">
        <v>305</v>
      </c>
      <c r="J740" s="5" t="s">
        <v>2289</v>
      </c>
      <c r="K740" s="5" t="s">
        <v>432</v>
      </c>
    </row>
    <row r="741" spans="2:11" ht="15.75" hidden="1" customHeight="1" x14ac:dyDescent="0.2">
      <c r="B741" s="4" t="s">
        <v>1435</v>
      </c>
      <c r="C741" s="4" t="s">
        <v>2389</v>
      </c>
      <c r="D741" s="4" t="s">
        <v>42</v>
      </c>
      <c r="E741" s="4" t="s">
        <v>23</v>
      </c>
      <c r="F741" s="4" t="s">
        <v>2388</v>
      </c>
      <c r="G741" s="19" t="str">
        <f>HYPERLINK("https://www.facebook.com/bluecrossofindia/photos/a.421535982169/10152321920212170/?type=3&amp;theater","Facebook (Blue Cross of India)")</f>
        <v>Facebook (Blue Cross of India)</v>
      </c>
      <c r="H741" s="6" t="s">
        <v>272</v>
      </c>
      <c r="I741" s="5" t="s">
        <v>305</v>
      </c>
      <c r="J741" s="5" t="s">
        <v>1753</v>
      </c>
      <c r="K741" s="5" t="s">
        <v>19</v>
      </c>
    </row>
    <row r="742" spans="2:11" ht="15.75" hidden="1" customHeight="1" x14ac:dyDescent="0.2">
      <c r="B742" s="4" t="s">
        <v>1435</v>
      </c>
      <c r="C742" s="4" t="s">
        <v>2082</v>
      </c>
      <c r="D742" s="4" t="s">
        <v>18</v>
      </c>
      <c r="E742" s="4" t="s">
        <v>17</v>
      </c>
      <c r="F742" s="4" t="s">
        <v>2387</v>
      </c>
      <c r="G742" s="19" t="str">
        <f>HYPERLINK("https://www.animalrahat.com/latest-news/weary-neglected-animals-helped-sangola-fair/","Animal Rahat")</f>
        <v>Animal Rahat</v>
      </c>
      <c r="H742" s="6" t="s">
        <v>1620</v>
      </c>
      <c r="I742" s="5" t="s">
        <v>305</v>
      </c>
      <c r="J742" s="5" t="s">
        <v>1686</v>
      </c>
      <c r="K742" s="5" t="s">
        <v>2364</v>
      </c>
    </row>
    <row r="743" spans="2:11" ht="15.75" hidden="1" customHeight="1" x14ac:dyDescent="0.2">
      <c r="B743" s="4" t="s">
        <v>1435</v>
      </c>
      <c r="C743" s="26"/>
      <c r="D743" s="25"/>
      <c r="E743" s="4" t="s">
        <v>5</v>
      </c>
      <c r="F743" s="4" t="s">
        <v>2386</v>
      </c>
      <c r="G743" s="19" t="s">
        <v>1620</v>
      </c>
      <c r="H743" s="6" t="s">
        <v>1620</v>
      </c>
      <c r="I743" s="5" t="s">
        <v>21</v>
      </c>
      <c r="J743" s="5" t="s">
        <v>334</v>
      </c>
      <c r="K743" s="5" t="s">
        <v>2010</v>
      </c>
    </row>
    <row r="744" spans="2:11" ht="15.75" hidden="1" customHeight="1" x14ac:dyDescent="0.2">
      <c r="B744" s="4" t="s">
        <v>1435</v>
      </c>
      <c r="C744" s="4" t="s">
        <v>2385</v>
      </c>
      <c r="D744" s="4" t="s">
        <v>42</v>
      </c>
      <c r="E744" s="4" t="s">
        <v>23</v>
      </c>
      <c r="F744" s="4" t="s">
        <v>2384</v>
      </c>
      <c r="G744" s="19" t="str">
        <f>HYPERLINK("https://www.youtube.com/watch?v=zzCIB-6Ac7M","Youtube")</f>
        <v>Youtube</v>
      </c>
      <c r="H744" s="6" t="s">
        <v>3</v>
      </c>
      <c r="I744" s="5" t="s">
        <v>305</v>
      </c>
      <c r="J744" s="5" t="s">
        <v>1717</v>
      </c>
      <c r="K744" s="5" t="s">
        <v>2383</v>
      </c>
    </row>
    <row r="745" spans="2:11" ht="15.75" hidden="1" customHeight="1" x14ac:dyDescent="0.2">
      <c r="B745" s="4" t="s">
        <v>1435</v>
      </c>
      <c r="C745" s="4" t="s">
        <v>2382</v>
      </c>
      <c r="D745" s="4" t="s">
        <v>77</v>
      </c>
      <c r="E745" s="4" t="s">
        <v>17</v>
      </c>
      <c r="F745" s="4" t="s">
        <v>2381</v>
      </c>
      <c r="G745" s="19" t="str">
        <f>HYPERLINK("https://www.facebook.com/bluecrossofindia/posts/10152346777087170:0","Facebook (Blue Cross of India)")</f>
        <v>Facebook (Blue Cross of India)</v>
      </c>
      <c r="H745" s="6" t="s">
        <v>272</v>
      </c>
      <c r="I745" s="5" t="s">
        <v>305</v>
      </c>
      <c r="J745" s="5" t="s">
        <v>1492</v>
      </c>
      <c r="K745" s="5" t="s">
        <v>509</v>
      </c>
    </row>
    <row r="746" spans="2:11" ht="15.75" hidden="1" customHeight="1" x14ac:dyDescent="0.2">
      <c r="B746" s="4" t="s">
        <v>1435</v>
      </c>
      <c r="C746" s="4" t="s">
        <v>2380</v>
      </c>
      <c r="D746" s="4" t="s">
        <v>18</v>
      </c>
      <c r="E746" s="4" t="s">
        <v>23</v>
      </c>
      <c r="F746" s="4" t="s">
        <v>2379</v>
      </c>
      <c r="G746" s="19" t="str">
        <f>HYPERLINK("https://www.petaindia.com/blog/sunders-story-from-sad-to-safe/?utm_source=PETA%20IN::Facebook&amp;utm_medium=Social&amp;utm_campaign=0608::ent::PETA%20IN::Facebook::Sunder%20story::::post","Peta India")</f>
        <v>Peta India</v>
      </c>
      <c r="H746" s="6" t="s">
        <v>272</v>
      </c>
      <c r="I746" s="5" t="s">
        <v>305</v>
      </c>
      <c r="J746" s="5" t="s">
        <v>1439</v>
      </c>
      <c r="K746" s="5" t="s">
        <v>64</v>
      </c>
    </row>
    <row r="747" spans="2:11" ht="15.75" hidden="1" customHeight="1" x14ac:dyDescent="0.2">
      <c r="B747" s="4" t="s">
        <v>1435</v>
      </c>
      <c r="C747" s="4" t="s">
        <v>299</v>
      </c>
      <c r="D747" s="4" t="s">
        <v>28</v>
      </c>
      <c r="E747" s="4" t="s">
        <v>5</v>
      </c>
      <c r="F747" s="4" t="s">
        <v>2378</v>
      </c>
      <c r="G747" s="23" t="s">
        <v>3</v>
      </c>
      <c r="H747" s="6" t="s">
        <v>3</v>
      </c>
      <c r="I747" s="5" t="s">
        <v>305</v>
      </c>
      <c r="J747" s="5" t="s">
        <v>15</v>
      </c>
      <c r="K747" s="5" t="s">
        <v>1996</v>
      </c>
    </row>
    <row r="748" spans="2:11" ht="15.75" hidden="1" customHeight="1" x14ac:dyDescent="0.2">
      <c r="B748" s="4" t="s">
        <v>1435</v>
      </c>
      <c r="C748" s="4" t="s">
        <v>1473</v>
      </c>
      <c r="D748" s="4" t="s">
        <v>94</v>
      </c>
      <c r="E748" s="4" t="s">
        <v>23</v>
      </c>
      <c r="F748" s="4" t="s">
        <v>2377</v>
      </c>
      <c r="G748" s="19" t="s">
        <v>3</v>
      </c>
      <c r="H748" s="6" t="s">
        <v>3</v>
      </c>
      <c r="I748" s="5" t="s">
        <v>21</v>
      </c>
      <c r="J748" s="5" t="s">
        <v>334</v>
      </c>
      <c r="K748" s="5" t="s">
        <v>2010</v>
      </c>
    </row>
    <row r="749" spans="2:11" ht="15.75" hidden="1" customHeight="1" x14ac:dyDescent="0.2">
      <c r="B749" s="4" t="s">
        <v>1435</v>
      </c>
      <c r="C749" s="4" t="s">
        <v>195</v>
      </c>
      <c r="D749" s="4" t="s">
        <v>42</v>
      </c>
      <c r="E749" s="4" t="s">
        <v>5</v>
      </c>
      <c r="F749" s="4" t="s">
        <v>2376</v>
      </c>
      <c r="G749" s="19" t="str">
        <f>HYPERLINK("https://www.thedodo.com/in-the-wild/rescue-elephant-surprise-party","News")</f>
        <v>News</v>
      </c>
      <c r="H749" s="6" t="s">
        <v>3</v>
      </c>
      <c r="I749" s="5" t="s">
        <v>305</v>
      </c>
      <c r="J749" s="5" t="s">
        <v>1439</v>
      </c>
      <c r="K749" s="5" t="s">
        <v>64</v>
      </c>
    </row>
    <row r="750" spans="2:11" ht="15.75" hidden="1" customHeight="1" x14ac:dyDescent="0.2">
      <c r="B750" s="4" t="s">
        <v>1435</v>
      </c>
      <c r="C750" s="6"/>
      <c r="D750" s="4" t="s">
        <v>150</v>
      </c>
      <c r="E750" s="4" t="s">
        <v>5</v>
      </c>
      <c r="F750" s="4" t="s">
        <v>2375</v>
      </c>
      <c r="G750" s="19" t="str">
        <f>HYPERLINK("https://www.youtube.com/watch?v=pqlaZQXLiYY","Youtube")</f>
        <v>Youtube</v>
      </c>
      <c r="H750" s="6" t="s">
        <v>3</v>
      </c>
      <c r="I750" s="5" t="s">
        <v>305</v>
      </c>
      <c r="J750" s="5" t="s">
        <v>1439</v>
      </c>
      <c r="K750" s="5" t="s">
        <v>955</v>
      </c>
    </row>
    <row r="751" spans="2:11" ht="15.75" hidden="1" customHeight="1" x14ac:dyDescent="0.2">
      <c r="B751" s="4" t="s">
        <v>1435</v>
      </c>
      <c r="C751" s="4" t="s">
        <v>201</v>
      </c>
      <c r="D751" s="4" t="s">
        <v>154</v>
      </c>
      <c r="E751" s="18" t="s">
        <v>5</v>
      </c>
      <c r="F751" s="4" t="s">
        <v>2374</v>
      </c>
      <c r="G751" s="19" t="str">
        <f>HYPERLINK("https://indianexpress.com/article/cities/ludhiana/dussehra-fair-in-brs-nagar-elephant-camel-rides-cancelled-as-awbi-intervenes/","News")</f>
        <v>News</v>
      </c>
      <c r="H751" s="6" t="s">
        <v>3</v>
      </c>
      <c r="I751" s="5" t="s">
        <v>305</v>
      </c>
      <c r="J751" s="5" t="s">
        <v>2373</v>
      </c>
      <c r="K751" s="5" t="s">
        <v>840</v>
      </c>
    </row>
    <row r="752" spans="2:11" ht="15.75" hidden="1" customHeight="1" x14ac:dyDescent="0.2">
      <c r="B752" s="4" t="s">
        <v>1435</v>
      </c>
      <c r="C752" s="4" t="s">
        <v>426</v>
      </c>
      <c r="D752" s="4" t="s">
        <v>154</v>
      </c>
      <c r="E752" s="4" t="s">
        <v>17</v>
      </c>
      <c r="F752" s="4" t="s">
        <v>2372</v>
      </c>
      <c r="G752" s="19" t="str">
        <f>HYPERLINK("https://indianexpress.com/article/india/politics/ec-slaps-notice-on-inld-candidate-for-riding-elephant-on-way-to-file-papers/","News")</f>
        <v>News</v>
      </c>
      <c r="H752" s="6" t="s">
        <v>3</v>
      </c>
      <c r="I752" s="5" t="s">
        <v>305</v>
      </c>
      <c r="J752" s="5" t="s">
        <v>2059</v>
      </c>
      <c r="K752" s="5" t="s">
        <v>64</v>
      </c>
    </row>
    <row r="753" spans="2:11" ht="15.75" hidden="1" customHeight="1" x14ac:dyDescent="0.2">
      <c r="B753" s="4" t="s">
        <v>1435</v>
      </c>
      <c r="C753" s="4" t="s">
        <v>219</v>
      </c>
      <c r="D753" s="4" t="s">
        <v>42</v>
      </c>
      <c r="E753" s="4" t="s">
        <v>5</v>
      </c>
      <c r="F753" s="4" t="s">
        <v>2371</v>
      </c>
      <c r="G753" s="19" t="str">
        <f>HYPERLINK("https://timesofindia.indiatimes.com/city/bareilly/Cruel-cows-vs-pig-fight-continues-despite-protests/articleshow/44927496.cms","News")</f>
        <v>News</v>
      </c>
      <c r="H753" s="6" t="s">
        <v>3</v>
      </c>
      <c r="I753" s="5" t="s">
        <v>305</v>
      </c>
      <c r="J753" s="5" t="s">
        <v>1686</v>
      </c>
      <c r="K753" s="5" t="s">
        <v>57</v>
      </c>
    </row>
    <row r="754" spans="2:11" ht="15.75" hidden="1" customHeight="1" x14ac:dyDescent="0.2">
      <c r="B754" s="4" t="s">
        <v>1435</v>
      </c>
      <c r="C754" s="4" t="s">
        <v>2370</v>
      </c>
      <c r="D754" s="4" t="s">
        <v>42</v>
      </c>
      <c r="E754" s="4" t="s">
        <v>17</v>
      </c>
      <c r="F754" s="4" t="s">
        <v>2369</v>
      </c>
      <c r="G754" s="19" t="str">
        <f>HYPERLINK("https://www.youtube.com/watch?v=zilpyngX-20","Youtube (NDTV)")</f>
        <v>Youtube (NDTV)</v>
      </c>
      <c r="H754" s="6" t="s">
        <v>3</v>
      </c>
      <c r="I754" s="5" t="s">
        <v>305</v>
      </c>
      <c r="J754" s="5" t="s">
        <v>1439</v>
      </c>
      <c r="K754" s="5" t="s">
        <v>955</v>
      </c>
    </row>
    <row r="755" spans="2:11" ht="15.75" hidden="1" customHeight="1" x14ac:dyDescent="0.2">
      <c r="B755" s="4" t="s">
        <v>1435</v>
      </c>
      <c r="C755" s="4" t="s">
        <v>1906</v>
      </c>
      <c r="D755" s="4" t="s">
        <v>94</v>
      </c>
      <c r="E755" s="4" t="s">
        <v>17</v>
      </c>
      <c r="F755" s="4" t="s">
        <v>2368</v>
      </c>
      <c r="G755" s="19" t="str">
        <f>HYPERLINK("https://www.youtube.com/watch?v=LwO_izY_Uic","Youtube")</f>
        <v>Youtube</v>
      </c>
      <c r="H755" s="6" t="s">
        <v>3</v>
      </c>
      <c r="I755" s="5" t="s">
        <v>305</v>
      </c>
      <c r="J755" s="5" t="s">
        <v>1700</v>
      </c>
      <c r="K755" s="5" t="s">
        <v>1430</v>
      </c>
    </row>
    <row r="756" spans="2:11" ht="15.75" hidden="1" customHeight="1" x14ac:dyDescent="0.2">
      <c r="B756" s="4" t="s">
        <v>1435</v>
      </c>
      <c r="C756" s="4"/>
      <c r="D756" s="4"/>
      <c r="E756" s="4" t="s">
        <v>17</v>
      </c>
      <c r="F756" s="4" t="s">
        <v>2367</v>
      </c>
      <c r="G756" s="19" t="s">
        <v>1493</v>
      </c>
      <c r="H756" s="6" t="s">
        <v>3</v>
      </c>
      <c r="I756" s="5" t="s">
        <v>305</v>
      </c>
      <c r="J756" s="5" t="s">
        <v>1436</v>
      </c>
      <c r="K756" s="5" t="s">
        <v>1430</v>
      </c>
    </row>
    <row r="757" spans="2:11" ht="15.75" hidden="1" customHeight="1" x14ac:dyDescent="0.2">
      <c r="B757" s="4" t="s">
        <v>1435</v>
      </c>
      <c r="C757" s="4" t="s">
        <v>2366</v>
      </c>
      <c r="D757" s="4" t="s">
        <v>36</v>
      </c>
      <c r="E757" s="4" t="s">
        <v>17</v>
      </c>
      <c r="F757" s="4" t="s">
        <v>2365</v>
      </c>
      <c r="G757" s="19" t="str">
        <f>HYPERLINK("https://www.animalrahat.com/latest-news/chinchali-fair-sponsor-bus-spare-bull/","Animal Rahat")</f>
        <v>Animal Rahat</v>
      </c>
      <c r="H757" s="6" t="s">
        <v>1620</v>
      </c>
      <c r="I757" s="5" t="s">
        <v>305</v>
      </c>
      <c r="J757" s="5" t="s">
        <v>1686</v>
      </c>
      <c r="K757" s="5" t="s">
        <v>2364</v>
      </c>
    </row>
    <row r="758" spans="2:11" ht="15.75" hidden="1" customHeight="1" x14ac:dyDescent="0.2">
      <c r="B758" s="4" t="s">
        <v>1435</v>
      </c>
      <c r="C758" s="4" t="s">
        <v>2363</v>
      </c>
      <c r="D758" s="4" t="s">
        <v>97</v>
      </c>
      <c r="E758" s="4" t="s">
        <v>17</v>
      </c>
      <c r="F758" s="4" t="s">
        <v>2362</v>
      </c>
      <c r="G758" s="19" t="str">
        <f>HYPERLINK("https://www.business-standard.com/article/pti-stories/cockfights-turns-into-gambling-activity-in-kendrapara-114121900472_1.html","News")</f>
        <v>News</v>
      </c>
      <c r="H758" s="6" t="s">
        <v>3</v>
      </c>
      <c r="I758" s="5" t="s">
        <v>305</v>
      </c>
      <c r="J758" s="5" t="s">
        <v>1700</v>
      </c>
      <c r="K758" s="5" t="s">
        <v>1518</v>
      </c>
    </row>
    <row r="759" spans="2:11" ht="15.75" hidden="1" customHeight="1" x14ac:dyDescent="0.2">
      <c r="B759" s="4" t="s">
        <v>1435</v>
      </c>
      <c r="C759" s="4" t="s">
        <v>104</v>
      </c>
      <c r="D759" s="4" t="s">
        <v>18</v>
      </c>
      <c r="E759" s="4" t="s">
        <v>23</v>
      </c>
      <c r="F759" s="4" t="s">
        <v>2361</v>
      </c>
      <c r="G759" s="19" t="str">
        <f>HYPERLINK("https://indianexpress.com/article/cities/mumbai/ten-horse-cart-drivers-arrested-for-racing-on-highway/","News")</f>
        <v>News</v>
      </c>
      <c r="H759" s="6" t="s">
        <v>3</v>
      </c>
      <c r="I759" s="5" t="s">
        <v>305</v>
      </c>
      <c r="J759" s="5" t="s">
        <v>1700</v>
      </c>
      <c r="K759" s="5" t="s">
        <v>1430</v>
      </c>
    </row>
    <row r="760" spans="2:11" ht="15.75" hidden="1" customHeight="1" x14ac:dyDescent="0.2">
      <c r="B760" s="4" t="s">
        <v>1435</v>
      </c>
      <c r="C760" s="6"/>
      <c r="D760" s="6" t="s">
        <v>94</v>
      </c>
      <c r="E760" s="6" t="s">
        <v>17</v>
      </c>
      <c r="F760" s="4" t="s">
        <v>2360</v>
      </c>
      <c r="G760" s="19" t="str">
        <f>HYPERLINK("https://www.youtube.com/watch?v=98W4wQIMxps","Youtube")</f>
        <v>Youtube</v>
      </c>
      <c r="H760" s="6" t="s">
        <v>3</v>
      </c>
      <c r="I760" s="5" t="s">
        <v>305</v>
      </c>
      <c r="J760" s="5" t="s">
        <v>1700</v>
      </c>
      <c r="K760" s="5" t="s">
        <v>840</v>
      </c>
    </row>
    <row r="761" spans="2:11" ht="15.75" hidden="1" customHeight="1" x14ac:dyDescent="0.2">
      <c r="B761" s="4" t="s">
        <v>1435</v>
      </c>
      <c r="C761" s="6"/>
      <c r="D761" s="6"/>
      <c r="E761" s="4" t="s">
        <v>17</v>
      </c>
      <c r="F761" s="4" t="s">
        <v>2359</v>
      </c>
      <c r="G761" s="19" t="str">
        <f>HYPERLINK("https://www.animalrahat.com/latest-news/top-six-abuses-indias-working-animals/","Animal Rahat")</f>
        <v>Animal Rahat</v>
      </c>
      <c r="H761" s="6" t="s">
        <v>1620</v>
      </c>
      <c r="I761" s="5" t="s">
        <v>305</v>
      </c>
      <c r="J761" s="5" t="s">
        <v>2059</v>
      </c>
      <c r="K761" s="5" t="s">
        <v>204</v>
      </c>
    </row>
    <row r="762" spans="2:11" ht="15.75" hidden="1" customHeight="1" x14ac:dyDescent="0.2">
      <c r="B762" s="4" t="s">
        <v>1435</v>
      </c>
      <c r="C762" s="4" t="s">
        <v>2358</v>
      </c>
      <c r="D762" s="4" t="s">
        <v>267</v>
      </c>
      <c r="E762" s="4" t="s">
        <v>5</v>
      </c>
      <c r="F762" s="4" t="s">
        <v>2357</v>
      </c>
      <c r="G762" s="19" t="str">
        <f>HYPERLINK("https://www.thehindu.com/news/national/telangana/rangampeta-keeps-date-with-jallikattu/article6796202.ece","News")</f>
        <v>News</v>
      </c>
      <c r="H762" s="6" t="s">
        <v>3</v>
      </c>
      <c r="I762" s="5" t="s">
        <v>305</v>
      </c>
      <c r="J762" s="5" t="s">
        <v>1700</v>
      </c>
      <c r="K762" s="5" t="s">
        <v>34</v>
      </c>
    </row>
    <row r="763" spans="2:11" ht="15.75" hidden="1" customHeight="1" x14ac:dyDescent="0.2">
      <c r="B763" s="4" t="s">
        <v>1435</v>
      </c>
      <c r="C763" s="4" t="s">
        <v>201</v>
      </c>
      <c r="D763" s="4" t="s">
        <v>154</v>
      </c>
      <c r="E763" s="4" t="s">
        <v>17</v>
      </c>
      <c r="F763" s="4" t="s">
        <v>2356</v>
      </c>
      <c r="G763" s="19" t="str">
        <f>HYPERLINK("https://www.hindustantimes.com/punjab/horses-to-replace-bulls-in-kila-raipur-cart-races/story-KKgKm8KCST3CEQJWHmCPxO.html","News")</f>
        <v>News</v>
      </c>
      <c r="H763" s="6" t="s">
        <v>3</v>
      </c>
      <c r="I763" s="5" t="s">
        <v>305</v>
      </c>
      <c r="J763" s="5" t="s">
        <v>1700</v>
      </c>
      <c r="K763" s="5" t="s">
        <v>1430</v>
      </c>
    </row>
    <row r="764" spans="2:11" ht="15.75" hidden="1" customHeight="1" x14ac:dyDescent="0.2">
      <c r="B764" s="4" t="s">
        <v>1435</v>
      </c>
      <c r="C764" s="4" t="s">
        <v>2355</v>
      </c>
      <c r="D764" s="4" t="s">
        <v>77</v>
      </c>
      <c r="E764" s="4" t="s">
        <v>5</v>
      </c>
      <c r="F764" s="4" t="s">
        <v>2354</v>
      </c>
      <c r="G764" s="19" t="str">
        <f>HYPERLINK("https://www.facebook.com/bluecrossofindia/photos/a.421535982169/10153342852552170/?type=3&amp;theater","Facebook (Blue Cross of India)")</f>
        <v>Facebook (Blue Cross of India)</v>
      </c>
      <c r="H764" s="6" t="s">
        <v>272</v>
      </c>
      <c r="I764" s="5" t="s">
        <v>305</v>
      </c>
      <c r="J764" s="5" t="s">
        <v>1439</v>
      </c>
      <c r="K764" s="5" t="s">
        <v>19</v>
      </c>
    </row>
    <row r="765" spans="2:11" ht="15.75" hidden="1" customHeight="1" x14ac:dyDescent="0.2">
      <c r="B765" s="4" t="s">
        <v>1435</v>
      </c>
      <c r="C765" s="4" t="s">
        <v>2353</v>
      </c>
      <c r="D765" s="4" t="s">
        <v>24</v>
      </c>
      <c r="E765" s="4" t="s">
        <v>17</v>
      </c>
      <c r="F765" s="4" t="s">
        <v>2352</v>
      </c>
      <c r="G765" s="19" t="str">
        <f>HYPERLINK("https://www.youtube.com/watch?v=xZ3tD3mxbow","Youtube (News)")</f>
        <v>Youtube (News)</v>
      </c>
      <c r="H765" s="6" t="s">
        <v>3</v>
      </c>
      <c r="I765" s="5" t="s">
        <v>305</v>
      </c>
      <c r="J765" s="5" t="s">
        <v>1439</v>
      </c>
      <c r="K765" s="5" t="s">
        <v>955</v>
      </c>
    </row>
    <row r="766" spans="2:11" ht="15.75" hidden="1" customHeight="1" x14ac:dyDescent="0.2">
      <c r="B766" s="4" t="s">
        <v>1435</v>
      </c>
      <c r="C766" s="4" t="s">
        <v>2351</v>
      </c>
      <c r="D766" s="4" t="s">
        <v>94</v>
      </c>
      <c r="E766" s="4" t="s">
        <v>5</v>
      </c>
      <c r="F766" s="4" t="s">
        <v>2350</v>
      </c>
      <c r="G766" s="19" t="str">
        <f>HYPERLINK("https://timesofindia.indiatimes.com/videos/news/Traditional-dog-fight-continues-in-villages-of-Rajasthan-despite-ban/videoshow/50013654.cms","News")</f>
        <v>News</v>
      </c>
      <c r="H766" s="6" t="s">
        <v>3</v>
      </c>
      <c r="I766" s="5" t="s">
        <v>305</v>
      </c>
      <c r="J766" s="5" t="s">
        <v>1700</v>
      </c>
      <c r="K766" s="5" t="s">
        <v>0</v>
      </c>
    </row>
    <row r="767" spans="2:11" ht="15.75" hidden="1" customHeight="1" x14ac:dyDescent="0.2">
      <c r="B767" s="4" t="s">
        <v>1435</v>
      </c>
      <c r="C767" s="6"/>
      <c r="D767" s="6" t="s">
        <v>154</v>
      </c>
      <c r="E767" s="4" t="s">
        <v>17</v>
      </c>
      <c r="F767" s="4" t="s">
        <v>2349</v>
      </c>
      <c r="G767" s="19" t="str">
        <f>HYPERLINK("https://www.youtube.com/watch?v=5TDpvDP6Pc0","Youtube")</f>
        <v>Youtube</v>
      </c>
      <c r="H767" s="6" t="s">
        <v>3</v>
      </c>
      <c r="I767" s="5" t="s">
        <v>305</v>
      </c>
      <c r="J767" s="5" t="s">
        <v>1700</v>
      </c>
      <c r="K767" s="5" t="s">
        <v>1430</v>
      </c>
    </row>
    <row r="768" spans="2:11" ht="15.75" hidden="1" customHeight="1" x14ac:dyDescent="0.2">
      <c r="B768" s="4" t="s">
        <v>1435</v>
      </c>
      <c r="C768" s="6"/>
      <c r="D768" s="4" t="s">
        <v>24</v>
      </c>
      <c r="E768" s="4" t="s">
        <v>17</v>
      </c>
      <c r="F768" s="4" t="s">
        <v>2348</v>
      </c>
      <c r="G768" s="19" t="str">
        <f>HYPERLINK("https://www.thehindu.com/news/national/telangana/when-bulls-proved-to-be-a-breed-apart/article6911231.ece","News")</f>
        <v>News</v>
      </c>
      <c r="H768" s="6" t="s">
        <v>3</v>
      </c>
      <c r="I768" s="5" t="s">
        <v>305</v>
      </c>
      <c r="J768" s="5" t="s">
        <v>1700</v>
      </c>
      <c r="K768" s="5" t="s">
        <v>34</v>
      </c>
    </row>
    <row r="769" spans="2:11" ht="15.75" hidden="1" customHeight="1" x14ac:dyDescent="0.2">
      <c r="B769" s="4" t="s">
        <v>1435</v>
      </c>
      <c r="C769" s="4" t="s">
        <v>32</v>
      </c>
      <c r="D769" s="4" t="s">
        <v>18</v>
      </c>
      <c r="E769" s="4" t="s">
        <v>17</v>
      </c>
      <c r="F769" s="4" t="s">
        <v>2347</v>
      </c>
      <c r="G769" s="19" t="str">
        <f>HYPERLINK("https://timesofindia.indiatimes.com/city/mumbai/Old-blind-tortured-elephant-rescued-from-a-life-of-beggary/articleshow/46361558.cms","News")</f>
        <v>News</v>
      </c>
      <c r="H769" s="6" t="s">
        <v>3</v>
      </c>
      <c r="I769" s="5" t="s">
        <v>305</v>
      </c>
      <c r="J769" s="5" t="s">
        <v>1439</v>
      </c>
      <c r="K769" s="5" t="s">
        <v>64</v>
      </c>
    </row>
    <row r="770" spans="2:11" ht="15.75" hidden="1" customHeight="1" x14ac:dyDescent="0.2">
      <c r="B770" s="4" t="s">
        <v>1435</v>
      </c>
      <c r="C770" s="4" t="s">
        <v>2346</v>
      </c>
      <c r="D770" s="4" t="s">
        <v>24</v>
      </c>
      <c r="E770" s="4" t="s">
        <v>17</v>
      </c>
      <c r="F770" s="4" t="s">
        <v>2345</v>
      </c>
      <c r="G770" s="19" t="str">
        <f>HYPERLINK("https://www.thehindu.com/news/national/telangana/ongole-bull-race-leaves-spectators-spellbound/article6854951.ece","News")</f>
        <v>News</v>
      </c>
      <c r="H770" s="6" t="s">
        <v>3</v>
      </c>
      <c r="I770" s="5" t="s">
        <v>305</v>
      </c>
      <c r="J770" s="5" t="s">
        <v>1700</v>
      </c>
      <c r="K770" s="5" t="s">
        <v>34</v>
      </c>
    </row>
    <row r="771" spans="2:11" ht="15.75" hidden="1" customHeight="1" x14ac:dyDescent="0.2">
      <c r="B771" s="4" t="s">
        <v>1435</v>
      </c>
      <c r="C771" s="4" t="s">
        <v>228</v>
      </c>
      <c r="D771" s="4" t="s">
        <v>36</v>
      </c>
      <c r="E771" s="4" t="s">
        <v>159</v>
      </c>
      <c r="F771" s="4" t="s">
        <v>2344</v>
      </c>
      <c r="G771" s="4" t="s">
        <v>289</v>
      </c>
      <c r="H771" s="6" t="s">
        <v>272</v>
      </c>
      <c r="I771" s="5" t="s">
        <v>1647</v>
      </c>
      <c r="J771" s="5" t="s">
        <v>852</v>
      </c>
      <c r="K771" s="5" t="s">
        <v>288</v>
      </c>
    </row>
    <row r="772" spans="2:11" ht="15.75" hidden="1" customHeight="1" x14ac:dyDescent="0.2">
      <c r="B772" s="4" t="s">
        <v>1435</v>
      </c>
      <c r="C772" s="4" t="s">
        <v>111</v>
      </c>
      <c r="D772" s="4" t="s">
        <v>24</v>
      </c>
      <c r="E772" s="4" t="s">
        <v>23</v>
      </c>
      <c r="F772" s="4" t="s">
        <v>2343</v>
      </c>
      <c r="G772" s="19" t="str">
        <f>HYPERLINK("https://timesofindia.indiatimes.com/india/Andhra-Pradesh-Congress-workers-fire-pigeon-stuffed-rocket-police-register-case/articleshow/49218286.cms","News")</f>
        <v>News</v>
      </c>
      <c r="H772" s="6" t="s">
        <v>3</v>
      </c>
      <c r="I772" s="5" t="s">
        <v>305</v>
      </c>
      <c r="J772" s="5" t="s">
        <v>1492</v>
      </c>
      <c r="K772" s="5" t="s">
        <v>528</v>
      </c>
    </row>
    <row r="773" spans="2:11" ht="15.75" hidden="1" customHeight="1" x14ac:dyDescent="0.2">
      <c r="B773" s="4" t="s">
        <v>1435</v>
      </c>
      <c r="C773" s="6" t="s">
        <v>299</v>
      </c>
      <c r="D773" s="6" t="s">
        <v>28</v>
      </c>
      <c r="E773" s="6" t="s">
        <v>17</v>
      </c>
      <c r="F773" s="4" t="s">
        <v>2342</v>
      </c>
      <c r="G773" s="19" t="s">
        <v>11</v>
      </c>
      <c r="H773" s="6" t="s">
        <v>11</v>
      </c>
      <c r="I773" s="5" t="s">
        <v>305</v>
      </c>
      <c r="J773" s="5" t="s">
        <v>2059</v>
      </c>
      <c r="K773" s="5" t="s">
        <v>840</v>
      </c>
    </row>
    <row r="774" spans="2:11" ht="15.75" hidden="1" customHeight="1" x14ac:dyDescent="0.2">
      <c r="B774" s="4" t="s">
        <v>1435</v>
      </c>
      <c r="C774" s="4" t="s">
        <v>1363</v>
      </c>
      <c r="D774" s="4" t="s">
        <v>66</v>
      </c>
      <c r="E774" s="4" t="s">
        <v>17</v>
      </c>
      <c r="F774" s="4" t="s">
        <v>2341</v>
      </c>
      <c r="G774" s="19" t="str">
        <f>HYPERLINK("https://indianexpress.com/article/india/elephants-will-be-part-of-thrissur-pooram-tomorrow-kerala-govt-declines-to-interfere/","News")</f>
        <v>News</v>
      </c>
      <c r="H774" s="6" t="s">
        <v>3</v>
      </c>
      <c r="I774" s="5" t="s">
        <v>305</v>
      </c>
      <c r="J774" s="5" t="s">
        <v>1439</v>
      </c>
      <c r="K774" s="5" t="s">
        <v>64</v>
      </c>
    </row>
    <row r="775" spans="2:11" ht="15.75" hidden="1" customHeight="1" x14ac:dyDescent="0.2">
      <c r="B775" s="4" t="s">
        <v>1435</v>
      </c>
      <c r="C775" s="4" t="s">
        <v>313</v>
      </c>
      <c r="D775" s="4" t="s">
        <v>42</v>
      </c>
      <c r="E775" s="4" t="s">
        <v>17</v>
      </c>
      <c r="F775" s="4" t="s">
        <v>2340</v>
      </c>
      <c r="G775" s="19" t="str">
        <f>HYPERLINK("https://www.facebook.com/photo.php?fbid=10153025917476594&amp;set=pcb.928475207218377&amp;type=3&amp;theater&amp;ifg=1","Facebook")</f>
        <v>Facebook</v>
      </c>
      <c r="H775" s="6" t="s">
        <v>11</v>
      </c>
      <c r="I775" s="5" t="s">
        <v>305</v>
      </c>
      <c r="J775" s="5" t="s">
        <v>2059</v>
      </c>
      <c r="K775" s="5" t="s">
        <v>840</v>
      </c>
    </row>
    <row r="776" spans="2:11" ht="15.75" hidden="1" customHeight="1" x14ac:dyDescent="0.2">
      <c r="B776" s="4" t="s">
        <v>1435</v>
      </c>
      <c r="C776" s="4" t="s">
        <v>37</v>
      </c>
      <c r="D776" s="4" t="s">
        <v>36</v>
      </c>
      <c r="E776" s="4" t="s">
        <v>5</v>
      </c>
      <c r="F776" s="4" t="s">
        <v>2339</v>
      </c>
      <c r="G776" s="19" t="str">
        <f>HYPERLINK("https://www.animalrahat.com/latest-news/animals-freed-from-cruel-circus/","Animal Rahat")</f>
        <v>Animal Rahat</v>
      </c>
      <c r="H776" s="6" t="s">
        <v>1620</v>
      </c>
      <c r="I776" s="5" t="s">
        <v>305</v>
      </c>
      <c r="J776" s="5" t="s">
        <v>1492</v>
      </c>
      <c r="K776" s="5" t="s">
        <v>204</v>
      </c>
    </row>
    <row r="777" spans="2:11" ht="15.75" hidden="1" customHeight="1" x14ac:dyDescent="0.2">
      <c r="B777" s="4" t="s">
        <v>1435</v>
      </c>
      <c r="C777" s="6" t="s">
        <v>2338</v>
      </c>
      <c r="D777" s="4" t="s">
        <v>210</v>
      </c>
      <c r="E777" s="4" t="s">
        <v>17</v>
      </c>
      <c r="F777" s="4" t="s">
        <v>2337</v>
      </c>
      <c r="G777" s="19" t="s">
        <v>3</v>
      </c>
      <c r="H777" s="6" t="s">
        <v>3</v>
      </c>
      <c r="I777" s="5" t="s">
        <v>305</v>
      </c>
      <c r="J777" s="5" t="s">
        <v>1480</v>
      </c>
      <c r="K777" s="5" t="s">
        <v>639</v>
      </c>
    </row>
    <row r="778" spans="2:11" ht="15.75" hidden="1" customHeight="1" x14ac:dyDescent="0.2">
      <c r="B778" s="4" t="s">
        <v>1435</v>
      </c>
      <c r="C778" s="4" t="s">
        <v>2336</v>
      </c>
      <c r="D778" s="4" t="s">
        <v>267</v>
      </c>
      <c r="E778" s="4" t="s">
        <v>17</v>
      </c>
      <c r="F778" s="4" t="s">
        <v>2335</v>
      </c>
      <c r="G778" s="19" t="str">
        <f>HYPERLINK("https://www.thehindu.com/news/national/andhra-pradesh/ongole-bulls-have-a-fight-to-the-finish/article7215228.ece","News")</f>
        <v>News</v>
      </c>
      <c r="H778" s="6" t="s">
        <v>3</v>
      </c>
      <c r="I778" s="5" t="s">
        <v>305</v>
      </c>
      <c r="J778" s="5" t="s">
        <v>1700</v>
      </c>
      <c r="K778" s="5" t="s">
        <v>34</v>
      </c>
    </row>
    <row r="779" spans="2:11" ht="15.75" hidden="1" customHeight="1" x14ac:dyDescent="0.2">
      <c r="B779" s="4" t="s">
        <v>1435</v>
      </c>
      <c r="C779" s="4" t="s">
        <v>104</v>
      </c>
      <c r="D779" s="4" t="s">
        <v>18</v>
      </c>
      <c r="E779" s="4" t="s">
        <v>17</v>
      </c>
      <c r="F779" s="4"/>
      <c r="G779" s="19" t="s">
        <v>2334</v>
      </c>
      <c r="H779" s="6" t="s">
        <v>2334</v>
      </c>
      <c r="I779" s="5" t="s">
        <v>305</v>
      </c>
      <c r="J779" s="5" t="s">
        <v>2333</v>
      </c>
      <c r="K779" s="5" t="s">
        <v>204</v>
      </c>
    </row>
    <row r="780" spans="2:11" ht="15.75" hidden="1" customHeight="1" x14ac:dyDescent="0.2">
      <c r="B780" s="4" t="s">
        <v>1435</v>
      </c>
      <c r="C780" s="4" t="s">
        <v>2332</v>
      </c>
      <c r="D780" s="4" t="s">
        <v>77</v>
      </c>
      <c r="E780" s="4" t="s">
        <v>23</v>
      </c>
      <c r="F780" s="4" t="s">
        <v>2331</v>
      </c>
      <c r="G780" s="19" t="s">
        <v>1467</v>
      </c>
      <c r="H780" s="6" t="s">
        <v>11</v>
      </c>
      <c r="I780" s="5" t="s">
        <v>305</v>
      </c>
      <c r="J780" s="5" t="s">
        <v>1686</v>
      </c>
      <c r="K780" s="5" t="s">
        <v>57</v>
      </c>
    </row>
    <row r="781" spans="2:11" ht="15.75" hidden="1" customHeight="1" x14ac:dyDescent="0.2">
      <c r="B781" s="4" t="s">
        <v>1435</v>
      </c>
      <c r="C781" s="4" t="s">
        <v>130</v>
      </c>
      <c r="D781" s="4" t="s">
        <v>77</v>
      </c>
      <c r="E781" s="4" t="s">
        <v>5</v>
      </c>
      <c r="F781" s="4" t="s">
        <v>2330</v>
      </c>
      <c r="G781" s="19" t="str">
        <f>HYPERLINK("https://timesofindia.indiatimes.com/city/chennai/Tortured-malnourished-Tale-of-monkeys-used-for-begging/articleshow/47660480.cms","News")</f>
        <v>News</v>
      </c>
      <c r="H781" s="6" t="s">
        <v>3</v>
      </c>
      <c r="I781" s="5" t="s">
        <v>305</v>
      </c>
      <c r="J781" s="5" t="s">
        <v>2059</v>
      </c>
      <c r="K781" s="5" t="s">
        <v>19</v>
      </c>
    </row>
    <row r="782" spans="2:11" ht="15.75" hidden="1" customHeight="1" x14ac:dyDescent="0.2">
      <c r="B782" s="4" t="s">
        <v>1435</v>
      </c>
      <c r="C782" s="6"/>
      <c r="D782" s="4" t="s">
        <v>71</v>
      </c>
      <c r="E782" s="4" t="s">
        <v>5</v>
      </c>
      <c r="F782" s="4" t="s">
        <v>2329</v>
      </c>
      <c r="G782" s="19" t="str">
        <f>HYPERLINK("https://www.youtube.com/watch?time_continue=7&amp;v=QipG7bFJgmo&amp;feature=emb_logo","Youtube (News)")</f>
        <v>Youtube (News)</v>
      </c>
      <c r="H782" s="6" t="s">
        <v>3</v>
      </c>
      <c r="I782" s="5" t="s">
        <v>305</v>
      </c>
      <c r="J782" s="5" t="s">
        <v>1700</v>
      </c>
      <c r="K782" s="5" t="s">
        <v>0</v>
      </c>
    </row>
    <row r="783" spans="2:11" ht="15.75" hidden="1" customHeight="1" x14ac:dyDescent="0.2">
      <c r="B783" s="4" t="s">
        <v>1435</v>
      </c>
      <c r="C783" s="4" t="s">
        <v>2328</v>
      </c>
      <c r="D783" s="4" t="s">
        <v>267</v>
      </c>
      <c r="E783" s="4" t="s">
        <v>17</v>
      </c>
      <c r="F783" s="4" t="s">
        <v>2327</v>
      </c>
      <c r="G783" s="19" t="str">
        <f>HYPERLINK("https://www.thehindu.com/news/national/andhra-pradesh/tamed-langurs-to-scare-away-unruly-monkeys/article7852969.ece","News")</f>
        <v>News</v>
      </c>
      <c r="H783" s="6" t="s">
        <v>3</v>
      </c>
      <c r="I783" s="5" t="s">
        <v>305</v>
      </c>
      <c r="J783" s="5" t="s">
        <v>1439</v>
      </c>
      <c r="K783" s="5" t="s">
        <v>955</v>
      </c>
    </row>
    <row r="784" spans="2:11" ht="15.75" hidden="1" customHeight="1" x14ac:dyDescent="0.2">
      <c r="B784" s="4" t="s">
        <v>1435</v>
      </c>
      <c r="C784" s="4" t="s">
        <v>104</v>
      </c>
      <c r="D784" s="4" t="s">
        <v>18</v>
      </c>
      <c r="E784" s="4" t="s">
        <v>17</v>
      </c>
      <c r="F784" s="4" t="s">
        <v>2326</v>
      </c>
      <c r="G784" s="19" t="str">
        <f>HYPERLINK("https://www.youtube.com/watch?v=NzFsUGlyzHQ","Youtube")</f>
        <v>Youtube</v>
      </c>
      <c r="H784" s="6" t="s">
        <v>3</v>
      </c>
      <c r="I784" s="5" t="s">
        <v>305</v>
      </c>
      <c r="J784" s="5" t="s">
        <v>2059</v>
      </c>
      <c r="K784" s="5" t="s">
        <v>840</v>
      </c>
    </row>
    <row r="785" spans="2:11" ht="15.75" hidden="1" customHeight="1" x14ac:dyDescent="0.2">
      <c r="B785" s="4" t="s">
        <v>1435</v>
      </c>
      <c r="C785" s="6"/>
      <c r="D785" s="4" t="s">
        <v>77</v>
      </c>
      <c r="E785" s="4" t="s">
        <v>17</v>
      </c>
      <c r="F785" s="4" t="s">
        <v>2325</v>
      </c>
      <c r="G785" s="19" t="str">
        <f>HYPERLINK("https://www.hindustantimes.com/regional-movies/after-rooster-fight-it-ll-be-pigeon-race-for-director-vetrimaaran/story-G6TzujBb1cgNWo9v1WOzBP.html","News")</f>
        <v>News</v>
      </c>
      <c r="H785" s="6" t="s">
        <v>3</v>
      </c>
      <c r="I785" s="5" t="s">
        <v>305</v>
      </c>
      <c r="J785" s="5" t="s">
        <v>1492</v>
      </c>
      <c r="K785" s="5" t="s">
        <v>147</v>
      </c>
    </row>
    <row r="786" spans="2:11" ht="15.75" hidden="1" customHeight="1" x14ac:dyDescent="0.2">
      <c r="B786" s="4" t="s">
        <v>1435</v>
      </c>
      <c r="C786" s="4" t="s">
        <v>228</v>
      </c>
      <c r="D786" s="4" t="s">
        <v>36</v>
      </c>
      <c r="E786" s="4" t="s">
        <v>159</v>
      </c>
      <c r="F786" s="4" t="s">
        <v>2324</v>
      </c>
      <c r="G786" s="4" t="s">
        <v>289</v>
      </c>
      <c r="H786" s="6" t="s">
        <v>272</v>
      </c>
      <c r="I786" s="5" t="s">
        <v>305</v>
      </c>
      <c r="J786" s="5" t="s">
        <v>50</v>
      </c>
      <c r="K786" s="5" t="s">
        <v>851</v>
      </c>
    </row>
    <row r="787" spans="2:11" ht="15.75" hidden="1" customHeight="1" x14ac:dyDescent="0.2">
      <c r="B787" s="4" t="s">
        <v>1435</v>
      </c>
      <c r="C787" s="4" t="s">
        <v>2323</v>
      </c>
      <c r="D787" s="4" t="s">
        <v>18</v>
      </c>
      <c r="E787" s="4" t="s">
        <v>23</v>
      </c>
      <c r="F787" s="4" t="s">
        <v>2322</v>
      </c>
      <c r="G787" s="19" t="str">
        <f>HYPERLINK("https://timesofindia.indiatimes.com/home/environment/Largest-rescue-of-abused-circus-animals-successful-in-Nanded/articleshow/46852020.cms","News")</f>
        <v>News</v>
      </c>
      <c r="H787" s="6" t="s">
        <v>3</v>
      </c>
      <c r="I787" s="5" t="s">
        <v>305</v>
      </c>
      <c r="J787" s="5" t="s">
        <v>2315</v>
      </c>
      <c r="K787" s="5" t="s">
        <v>204</v>
      </c>
    </row>
    <row r="788" spans="2:11" ht="15.75" hidden="1" customHeight="1" x14ac:dyDescent="0.2">
      <c r="B788" s="4" t="s">
        <v>1435</v>
      </c>
      <c r="C788" s="4" t="s">
        <v>2321</v>
      </c>
      <c r="D788" s="4" t="s">
        <v>77</v>
      </c>
      <c r="E788" s="4" t="s">
        <v>5</v>
      </c>
      <c r="F788" s="4" t="s">
        <v>2320</v>
      </c>
      <c r="G788" s="19" t="str">
        <f>HYPERLINK("https://www.facebook.com/groups/thepound/permalink/1024800940863738/","Facebook")</f>
        <v>Facebook</v>
      </c>
      <c r="H788" s="6" t="s">
        <v>11</v>
      </c>
      <c r="I788" s="5" t="s">
        <v>305</v>
      </c>
      <c r="J788" s="5" t="s">
        <v>2059</v>
      </c>
      <c r="K788" s="5" t="s">
        <v>19</v>
      </c>
    </row>
    <row r="789" spans="2:11" ht="15.75" hidden="1" customHeight="1" x14ac:dyDescent="0.2">
      <c r="B789" s="4" t="s">
        <v>1435</v>
      </c>
      <c r="C789" s="6" t="s">
        <v>2319</v>
      </c>
      <c r="D789" s="4" t="s">
        <v>66</v>
      </c>
      <c r="E789" s="4" t="s">
        <v>5</v>
      </c>
      <c r="F789" s="4" t="s">
        <v>2318</v>
      </c>
      <c r="G789" s="19" t="str">
        <f>HYPERLINK("https://www.dailymail.co.uk/news/article-3199391/Tortured-tourists-Chained-spot-20-years-Beaten-submission-secret-jungle-training-camps-terrible-plight-Indian-elephants-LIZ-JONES.html","News")</f>
        <v>News</v>
      </c>
      <c r="H789" s="6" t="s">
        <v>3</v>
      </c>
      <c r="I789" s="5" t="s">
        <v>305</v>
      </c>
      <c r="J789" s="5" t="s">
        <v>1439</v>
      </c>
      <c r="K789" s="5" t="s">
        <v>64</v>
      </c>
    </row>
    <row r="790" spans="2:11" ht="15.75" hidden="1" customHeight="1" x14ac:dyDescent="0.2">
      <c r="B790" s="4" t="s">
        <v>1435</v>
      </c>
      <c r="C790" s="6"/>
      <c r="D790" s="4" t="s">
        <v>18</v>
      </c>
      <c r="E790" s="4" t="s">
        <v>17</v>
      </c>
      <c r="F790" s="4" t="s">
        <v>2317</v>
      </c>
      <c r="G790" s="19" t="str">
        <f>HYPERLINK("https://www.animalrahat.com/latest-news/ponies-rescued-from-circus-now-enjoy-life-of-relaxation/","Animal Rahat")</f>
        <v>Animal Rahat</v>
      </c>
      <c r="H790" s="6" t="s">
        <v>1620</v>
      </c>
      <c r="I790" s="5" t="s">
        <v>305</v>
      </c>
      <c r="J790" s="5" t="s">
        <v>1492</v>
      </c>
      <c r="K790" s="5" t="s">
        <v>1996</v>
      </c>
    </row>
    <row r="791" spans="2:11" ht="15.75" hidden="1" customHeight="1" x14ac:dyDescent="0.2">
      <c r="B791" s="4" t="s">
        <v>1435</v>
      </c>
      <c r="C791" s="4" t="s">
        <v>1363</v>
      </c>
      <c r="D791" s="4" t="s">
        <v>66</v>
      </c>
      <c r="E791" s="4" t="s">
        <v>17</v>
      </c>
      <c r="F791" s="4" t="s">
        <v>2316</v>
      </c>
      <c r="G791" s="19" t="str">
        <f>HYPERLINK("https://www.facebook.com/bluecrossofindia/posts/10153266744292170","Facebook")</f>
        <v>Facebook</v>
      </c>
      <c r="H791" s="6" t="s">
        <v>11</v>
      </c>
      <c r="I791" s="5" t="s">
        <v>305</v>
      </c>
      <c r="J791" s="5" t="s">
        <v>2315</v>
      </c>
      <c r="K791" s="5" t="s">
        <v>204</v>
      </c>
    </row>
    <row r="792" spans="2:11" ht="15.75" hidden="1" customHeight="1" x14ac:dyDescent="0.2">
      <c r="B792" s="4" t="s">
        <v>1435</v>
      </c>
      <c r="C792" s="4" t="s">
        <v>228</v>
      </c>
      <c r="D792" s="4" t="s">
        <v>36</v>
      </c>
      <c r="E792" s="4" t="s">
        <v>159</v>
      </c>
      <c r="F792" s="4" t="s">
        <v>2314</v>
      </c>
      <c r="G792" s="4" t="s">
        <v>289</v>
      </c>
      <c r="H792" s="6" t="s">
        <v>272</v>
      </c>
      <c r="I792" s="5" t="s">
        <v>305</v>
      </c>
      <c r="J792" s="5" t="s">
        <v>852</v>
      </c>
      <c r="K792" s="5" t="s">
        <v>851</v>
      </c>
    </row>
    <row r="793" spans="2:11" ht="15.75" hidden="1" customHeight="1" x14ac:dyDescent="0.2">
      <c r="B793" s="4" t="s">
        <v>1435</v>
      </c>
      <c r="C793" s="4" t="s">
        <v>1867</v>
      </c>
      <c r="D793" s="4" t="s">
        <v>36</v>
      </c>
      <c r="E793" s="4" t="s">
        <v>17</v>
      </c>
      <c r="F793" s="4" t="s">
        <v>2313</v>
      </c>
      <c r="G793" s="19" t="str">
        <f>HYPERLINK("https://www.youtube.com/watch?v=gKvtihQHqdc","Youtube")</f>
        <v>Youtube</v>
      </c>
      <c r="H793" s="6" t="s">
        <v>3</v>
      </c>
      <c r="I793" s="5" t="s">
        <v>305</v>
      </c>
      <c r="J793" s="5" t="s">
        <v>1700</v>
      </c>
      <c r="K793" s="5" t="s">
        <v>34</v>
      </c>
    </row>
    <row r="794" spans="2:11" ht="15.75" hidden="1" customHeight="1" x14ac:dyDescent="0.2">
      <c r="B794" s="4" t="s">
        <v>1435</v>
      </c>
      <c r="C794" s="6"/>
      <c r="D794" s="6" t="s">
        <v>94</v>
      </c>
      <c r="E794" s="4" t="s">
        <v>17</v>
      </c>
      <c r="F794" s="4" t="s">
        <v>2312</v>
      </c>
      <c r="G794" s="19" t="str">
        <f>HYPERLINK("https://www.youtube.com/watch?v=GeawyWc-U7g","Youtube (Animal Aid Unlimited)")</f>
        <v>Youtube (Animal Aid Unlimited)</v>
      </c>
      <c r="H794" s="6" t="s">
        <v>272</v>
      </c>
      <c r="I794" s="5" t="s">
        <v>305</v>
      </c>
      <c r="J794" s="5" t="s">
        <v>1485</v>
      </c>
      <c r="K794" s="5" t="s">
        <v>57</v>
      </c>
    </row>
    <row r="795" spans="2:11" ht="15.75" hidden="1" customHeight="1" x14ac:dyDescent="0.2">
      <c r="B795" s="4" t="s">
        <v>1435</v>
      </c>
      <c r="C795" s="4" t="s">
        <v>111</v>
      </c>
      <c r="D795" s="4" t="s">
        <v>24</v>
      </c>
      <c r="E795" s="4" t="s">
        <v>17</v>
      </c>
      <c r="F795" s="4" t="s">
        <v>2311</v>
      </c>
      <c r="G795" s="19" t="s">
        <v>3</v>
      </c>
      <c r="H795" s="6" t="s">
        <v>3</v>
      </c>
      <c r="I795" s="5" t="s">
        <v>305</v>
      </c>
      <c r="J795" s="5" t="s">
        <v>1915</v>
      </c>
      <c r="K795" s="5" t="s">
        <v>2233</v>
      </c>
    </row>
    <row r="796" spans="2:11" ht="15.75" hidden="1" customHeight="1" x14ac:dyDescent="0.2">
      <c r="B796" s="4" t="s">
        <v>1435</v>
      </c>
      <c r="C796" s="4" t="s">
        <v>228</v>
      </c>
      <c r="D796" s="4" t="s">
        <v>36</v>
      </c>
      <c r="E796" s="4" t="s">
        <v>159</v>
      </c>
      <c r="F796" s="4" t="s">
        <v>2310</v>
      </c>
      <c r="G796" s="4" t="s">
        <v>289</v>
      </c>
      <c r="H796" s="6" t="s">
        <v>272</v>
      </c>
      <c r="I796" s="5" t="s">
        <v>305</v>
      </c>
      <c r="J796" s="5" t="s">
        <v>50</v>
      </c>
      <c r="K796" s="5" t="s">
        <v>851</v>
      </c>
    </row>
    <row r="797" spans="2:11" ht="15.75" hidden="1" customHeight="1" x14ac:dyDescent="0.2">
      <c r="B797" s="4" t="s">
        <v>1435</v>
      </c>
      <c r="C797" s="4" t="s">
        <v>1240</v>
      </c>
      <c r="D797" s="4" t="s">
        <v>66</v>
      </c>
      <c r="E797" s="4" t="s">
        <v>23</v>
      </c>
      <c r="F797" s="4" t="s">
        <v>2309</v>
      </c>
      <c r="G797" s="19" t="s">
        <v>3</v>
      </c>
      <c r="H797" s="6" t="s">
        <v>3</v>
      </c>
      <c r="I797" s="5" t="s">
        <v>305</v>
      </c>
      <c r="J797" s="5" t="s">
        <v>1492</v>
      </c>
      <c r="K797" s="5" t="s">
        <v>147</v>
      </c>
    </row>
    <row r="798" spans="2:11" ht="15.75" hidden="1" customHeight="1" x14ac:dyDescent="0.2">
      <c r="B798" s="4" t="s">
        <v>1435</v>
      </c>
      <c r="C798" s="4" t="s">
        <v>2308</v>
      </c>
      <c r="D798" s="4" t="s">
        <v>36</v>
      </c>
      <c r="E798" s="4" t="s">
        <v>23</v>
      </c>
      <c r="F798" s="4" t="s">
        <v>2307</v>
      </c>
      <c r="G798" s="19" t="str">
        <f>HYPERLINK("https://www.thenewsminute.com/article/it-took-death-one-elephant-zoo-save-other-jumbos-36206","News")</f>
        <v>News</v>
      </c>
      <c r="H798" s="6" t="s">
        <v>3</v>
      </c>
      <c r="I798" s="5" t="s">
        <v>305</v>
      </c>
      <c r="J798" s="5" t="s">
        <v>50</v>
      </c>
      <c r="K798" s="5" t="s">
        <v>64</v>
      </c>
    </row>
    <row r="799" spans="2:11" ht="15.75" hidden="1" customHeight="1" x14ac:dyDescent="0.2">
      <c r="B799" s="4" t="s">
        <v>1435</v>
      </c>
      <c r="C799" s="4" t="s">
        <v>2306</v>
      </c>
      <c r="D799" s="4" t="s">
        <v>42</v>
      </c>
      <c r="E799" s="4" t="s">
        <v>17</v>
      </c>
      <c r="F799" s="4" t="s">
        <v>2305</v>
      </c>
      <c r="G799" s="19" t="str">
        <f>HYPERLINK("https://indianexpress.com/article/cities/lucknow/animal-welfare-board-of-india-pigeon-contest-banned-board-out-to-fight-for-other-creatures/","News")</f>
        <v>News</v>
      </c>
      <c r="H799" s="6" t="s">
        <v>3</v>
      </c>
      <c r="I799" s="5" t="s">
        <v>305</v>
      </c>
      <c r="J799" s="5" t="s">
        <v>1700</v>
      </c>
      <c r="K799" s="5" t="s">
        <v>147</v>
      </c>
    </row>
    <row r="800" spans="2:11" ht="15.75" hidden="1" customHeight="1" x14ac:dyDescent="0.2">
      <c r="B800" s="4" t="s">
        <v>1435</v>
      </c>
      <c r="C800" s="4" t="s">
        <v>104</v>
      </c>
      <c r="D800" s="4" t="s">
        <v>18</v>
      </c>
      <c r="E800" s="4" t="s">
        <v>23</v>
      </c>
      <c r="F800" s="4" t="s">
        <v>2304</v>
      </c>
      <c r="G800" s="19" t="str">
        <f>HYPERLINK("https://indianexpress.com/article/india/india-news-india/gemini-circus-animal-torture-cruelty-bombay-high-court-maharashtra-government-4404049/","News")</f>
        <v>News</v>
      </c>
      <c r="H800" s="6" t="s">
        <v>3</v>
      </c>
      <c r="I800" s="5" t="s">
        <v>305</v>
      </c>
      <c r="J800" s="5" t="s">
        <v>1492</v>
      </c>
      <c r="K800" s="5" t="s">
        <v>204</v>
      </c>
    </row>
    <row r="801" spans="2:11" ht="15.75" hidden="1" customHeight="1" x14ac:dyDescent="0.2">
      <c r="B801" s="4" t="s">
        <v>1435</v>
      </c>
      <c r="C801" s="4" t="s">
        <v>2303</v>
      </c>
      <c r="D801" s="4" t="s">
        <v>47</v>
      </c>
      <c r="E801" s="4" t="s">
        <v>55</v>
      </c>
      <c r="F801" s="4" t="s">
        <v>2302</v>
      </c>
      <c r="G801" s="19" t="str">
        <f>HYPERLINK("https://www.deccanherald.com/content/522759/gauhati-hc-stays-400-year.html","News")</f>
        <v>News</v>
      </c>
      <c r="H801" s="6" t="s">
        <v>3</v>
      </c>
      <c r="I801" s="5" t="s">
        <v>305</v>
      </c>
      <c r="J801" s="5" t="s">
        <v>1700</v>
      </c>
      <c r="K801" s="5" t="s">
        <v>780</v>
      </c>
    </row>
    <row r="802" spans="2:11" ht="15.75" hidden="1" customHeight="1" x14ac:dyDescent="0.2">
      <c r="B802" s="4" t="s">
        <v>1435</v>
      </c>
      <c r="C802" s="4" t="s">
        <v>78</v>
      </c>
      <c r="D802" s="4" t="s">
        <v>77</v>
      </c>
      <c r="E802" s="4" t="s">
        <v>17</v>
      </c>
      <c r="F802" s="4" t="s">
        <v>2301</v>
      </c>
      <c r="G802" s="19" t="str">
        <f>HYPERLINK("https://www.newindianexpress.com/states/tamil-nadu/2016/jan/13/Here-Bullock-Carts-A-Safer-Alternative-for-School-Children-868234.html","News")</f>
        <v>News</v>
      </c>
      <c r="H802" s="6" t="s">
        <v>3</v>
      </c>
      <c r="I802" s="5" t="s">
        <v>305</v>
      </c>
      <c r="J802" s="5" t="s">
        <v>2059</v>
      </c>
      <c r="K802" s="5" t="s">
        <v>34</v>
      </c>
    </row>
    <row r="803" spans="2:11" ht="15.75" hidden="1" customHeight="1" x14ac:dyDescent="0.2">
      <c r="B803" s="4" t="s">
        <v>1435</v>
      </c>
      <c r="C803" s="4" t="s">
        <v>2300</v>
      </c>
      <c r="D803" s="4" t="s">
        <v>47</v>
      </c>
      <c r="E803" s="4" t="s">
        <v>17</v>
      </c>
      <c r="F803" s="4" t="s">
        <v>2299</v>
      </c>
      <c r="G803" s="19" t="str">
        <f>HYPERLINK("https://www.deccanherald.com/content/523490/assam-village-holds-buffalo-fight.html","News")</f>
        <v>News</v>
      </c>
      <c r="H803" s="6" t="s">
        <v>3</v>
      </c>
      <c r="I803" s="5" t="s">
        <v>305</v>
      </c>
      <c r="J803" s="5" t="s">
        <v>1700</v>
      </c>
      <c r="K803" s="5" t="s">
        <v>34</v>
      </c>
    </row>
    <row r="804" spans="2:11" ht="15.75" hidden="1" customHeight="1" x14ac:dyDescent="0.2">
      <c r="B804" s="4" t="s">
        <v>1435</v>
      </c>
      <c r="C804" s="4" t="s">
        <v>2298</v>
      </c>
      <c r="D804" s="4" t="s">
        <v>24</v>
      </c>
      <c r="E804" s="4" t="s">
        <v>17</v>
      </c>
      <c r="F804" s="4" t="s">
        <v>2297</v>
      </c>
      <c r="G804" s="19" t="str">
        <f>HYPERLINK("https://www.youtube.com/watch?v=M59V-HU27ZM","Youtube (News)")</f>
        <v>Youtube (News)</v>
      </c>
      <c r="H804" s="6" t="s">
        <v>3</v>
      </c>
      <c r="I804" s="5" t="s">
        <v>305</v>
      </c>
      <c r="J804" s="5" t="s">
        <v>1439</v>
      </c>
      <c r="K804" s="5" t="s">
        <v>955</v>
      </c>
    </row>
    <row r="805" spans="2:11" ht="15.75" hidden="1" customHeight="1" x14ac:dyDescent="0.2">
      <c r="B805" s="4" t="s">
        <v>1435</v>
      </c>
      <c r="C805" s="4" t="s">
        <v>2296</v>
      </c>
      <c r="D805" s="4" t="s">
        <v>66</v>
      </c>
      <c r="E805" s="4" t="s">
        <v>5</v>
      </c>
      <c r="F805" s="4" t="s">
        <v>2295</v>
      </c>
      <c r="G805" s="19" t="str">
        <f>HYPERLINK("https://www.thehindu.com/news/cities/Thiruvananthapuram/Elephant-being-tortured-forum/article14026556.ece","News")</f>
        <v>News</v>
      </c>
      <c r="H805" s="6" t="s">
        <v>3</v>
      </c>
      <c r="I805" s="5" t="s">
        <v>305</v>
      </c>
      <c r="J805" s="5" t="s">
        <v>1686</v>
      </c>
      <c r="K805" s="5" t="s">
        <v>64</v>
      </c>
    </row>
    <row r="806" spans="2:11" ht="15.75" hidden="1" customHeight="1" x14ac:dyDescent="0.2">
      <c r="B806" s="4" t="s">
        <v>1435</v>
      </c>
      <c r="C806" s="6"/>
      <c r="D806" s="6"/>
      <c r="E806" s="4" t="s">
        <v>5</v>
      </c>
      <c r="F806" s="4" t="s">
        <v>2294</v>
      </c>
      <c r="G806" s="19" t="str">
        <f>HYPERLINK("https://www.petaindia.com/blog/rescue-snakes-nag-panchami/","PETA India")</f>
        <v>PETA India</v>
      </c>
      <c r="H806" s="6" t="s">
        <v>272</v>
      </c>
      <c r="I806" s="5" t="s">
        <v>305</v>
      </c>
      <c r="J806" s="5" t="s">
        <v>1686</v>
      </c>
      <c r="K806" s="5" t="s">
        <v>509</v>
      </c>
    </row>
    <row r="807" spans="2:11" ht="15.75" hidden="1" customHeight="1" x14ac:dyDescent="0.2">
      <c r="B807" s="4" t="s">
        <v>1435</v>
      </c>
      <c r="C807" s="4" t="s">
        <v>566</v>
      </c>
      <c r="D807" s="4" t="s">
        <v>42</v>
      </c>
      <c r="E807" s="4" t="s">
        <v>5</v>
      </c>
      <c r="F807" s="4" t="s">
        <v>2293</v>
      </c>
      <c r="G807" s="19" t="str">
        <f>HYPERLINK("https://www.facebook.com/photo.php?fbid=10153593449323208&amp;set=pcb.10153470074814537&amp;type=3&amp;ifg=1&amp;__tn__=HH-R&amp;eid=ARAeCeyKH2pmibjAPw7WOWFfz_WY9iasVpfxjWl8cMp9iEzVvEgag-_qHT9VYEIsueqcZqmcrkML-cPY","Facebook")</f>
        <v>Facebook</v>
      </c>
      <c r="H807" s="6" t="s">
        <v>11</v>
      </c>
      <c r="I807" s="5" t="s">
        <v>305</v>
      </c>
      <c r="J807" s="5" t="s">
        <v>2289</v>
      </c>
      <c r="K807" s="5" t="s">
        <v>34</v>
      </c>
    </row>
    <row r="808" spans="2:11" ht="15.75" hidden="1" customHeight="1" x14ac:dyDescent="0.2">
      <c r="B808" s="4" t="s">
        <v>1435</v>
      </c>
      <c r="C808" s="4" t="s">
        <v>313</v>
      </c>
      <c r="D808" s="4" t="s">
        <v>42</v>
      </c>
      <c r="E808" s="4" t="s">
        <v>5</v>
      </c>
      <c r="F808" s="4" t="s">
        <v>2292</v>
      </c>
      <c r="G808" s="19" t="str">
        <f>HYPERLINK("https://indianexpress.com/article/cities/lucknow/agra-pigeon-contest-scrapped-after-animal-board-objects/","News")</f>
        <v>News</v>
      </c>
      <c r="H808" s="6" t="s">
        <v>3</v>
      </c>
      <c r="I808" s="5" t="s">
        <v>305</v>
      </c>
      <c r="J808" s="5" t="s">
        <v>1700</v>
      </c>
      <c r="K808" s="5" t="s">
        <v>147</v>
      </c>
    </row>
    <row r="809" spans="2:11" ht="15.75" hidden="1" customHeight="1" x14ac:dyDescent="0.2">
      <c r="B809" s="4" t="s">
        <v>1435</v>
      </c>
      <c r="C809" s="4" t="s">
        <v>2291</v>
      </c>
      <c r="D809" s="4" t="s">
        <v>18</v>
      </c>
      <c r="E809" s="4" t="s">
        <v>5</v>
      </c>
      <c r="F809" s="4" t="s">
        <v>2290</v>
      </c>
      <c r="G809" s="19" t="str">
        <f>HYPERLINK("https://timesofindia.indiatimes.com/city/nagpur/Amar-Circus-neglecting-animals-camels-injured-and-infected-AWBI/articleshow/50421877.cms","News")</f>
        <v>News</v>
      </c>
      <c r="H809" s="6" t="s">
        <v>3</v>
      </c>
      <c r="I809" s="5" t="s">
        <v>305</v>
      </c>
      <c r="J809" s="5" t="s">
        <v>1492</v>
      </c>
      <c r="K809" s="5" t="s">
        <v>204</v>
      </c>
    </row>
    <row r="810" spans="2:11" ht="15.75" hidden="1" customHeight="1" x14ac:dyDescent="0.2">
      <c r="B810" s="4" t="s">
        <v>1435</v>
      </c>
      <c r="C810" s="6" t="s">
        <v>299</v>
      </c>
      <c r="D810" s="6" t="s">
        <v>28</v>
      </c>
      <c r="E810" s="6" t="s">
        <v>17</v>
      </c>
      <c r="F810" s="4" t="s">
        <v>1273</v>
      </c>
      <c r="G810" s="14" t="s">
        <v>272</v>
      </c>
      <c r="H810" s="6">
        <v>19</v>
      </c>
      <c r="I810" s="5" t="s">
        <v>305</v>
      </c>
      <c r="J810" s="5" t="s">
        <v>2289</v>
      </c>
      <c r="K810" s="5" t="s">
        <v>1272</v>
      </c>
    </row>
    <row r="811" spans="2:11" ht="15.75" hidden="1" customHeight="1" x14ac:dyDescent="0.2">
      <c r="B811" s="4" t="s">
        <v>1435</v>
      </c>
      <c r="C811" s="4" t="s">
        <v>2288</v>
      </c>
      <c r="D811" s="4" t="s">
        <v>150</v>
      </c>
      <c r="E811" s="4" t="s">
        <v>17</v>
      </c>
      <c r="F811" s="4" t="s">
        <v>2287</v>
      </c>
      <c r="G811" s="19" t="str">
        <f>HYPERLINK("https://www.facebook.com/photo.php?fbid=10153663949343323&amp;set=pcb.1013699122029318&amp;type=3&amp;size=539%2C960","Facebook")</f>
        <v>Facebook</v>
      </c>
      <c r="H811" s="6" t="s">
        <v>11</v>
      </c>
      <c r="I811" s="5" t="s">
        <v>305</v>
      </c>
      <c r="J811" s="5" t="s">
        <v>2059</v>
      </c>
      <c r="K811" s="5" t="s">
        <v>1430</v>
      </c>
    </row>
    <row r="812" spans="2:11" ht="15.75" hidden="1" customHeight="1" x14ac:dyDescent="0.2">
      <c r="B812" s="4" t="s">
        <v>1435</v>
      </c>
      <c r="C812" s="4" t="s">
        <v>271</v>
      </c>
      <c r="D812" s="4" t="s">
        <v>94</v>
      </c>
      <c r="E812" s="4" t="s">
        <v>17</v>
      </c>
      <c r="F812" s="4" t="s">
        <v>2286</v>
      </c>
      <c r="G812" s="19" t="str">
        <f>HYPERLINK("https://economictimes.indiatimes.com/magazines/panache/royal-nuptials-varun-sjb-rana-ties-the-knot-with-padmaja-jadeja/articleshow/51435770.cms?from=mdr","News")</f>
        <v>News</v>
      </c>
      <c r="H812" s="6" t="s">
        <v>3</v>
      </c>
      <c r="I812" s="5" t="s">
        <v>305</v>
      </c>
      <c r="J812" s="5" t="s">
        <v>2059</v>
      </c>
      <c r="K812" s="5" t="s">
        <v>204</v>
      </c>
    </row>
    <row r="813" spans="2:11" ht="15.75" hidden="1" customHeight="1" x14ac:dyDescent="0.2">
      <c r="B813" s="4" t="s">
        <v>1435</v>
      </c>
      <c r="C813" s="6" t="s">
        <v>111</v>
      </c>
      <c r="D813" s="4" t="s">
        <v>24</v>
      </c>
      <c r="E813" s="4" t="s">
        <v>23</v>
      </c>
      <c r="F813" s="4" t="s">
        <v>2285</v>
      </c>
      <c r="G813" s="19" t="str">
        <f>HYPERLINK("https://www.thehansindia.com/posts/index/Telangana/2016-03-25/50000-reward-for-info-on-pony-attackers/216169","News")</f>
        <v>News</v>
      </c>
      <c r="H813" s="6" t="s">
        <v>3</v>
      </c>
      <c r="I813" s="5" t="s">
        <v>305</v>
      </c>
      <c r="J813" s="5" t="s">
        <v>15</v>
      </c>
      <c r="K813" s="5" t="s">
        <v>1996</v>
      </c>
    </row>
    <row r="814" spans="2:11" ht="15.75" hidden="1" customHeight="1" x14ac:dyDescent="0.2">
      <c r="B814" s="4" t="s">
        <v>1435</v>
      </c>
      <c r="C814" s="4" t="s">
        <v>104</v>
      </c>
      <c r="D814" s="4" t="s">
        <v>18</v>
      </c>
      <c r="E814" s="4" t="s">
        <v>23</v>
      </c>
      <c r="F814" s="4" t="s">
        <v>2284</v>
      </c>
      <c r="G814" s="19" t="str">
        <f>HYPERLINK("https://timesofindia.indiatimes.com/city/mumbai/Ram-fighting-gang-makes-a-bakra-of-cops-and-how/articleshow/51591442.cms","News")</f>
        <v>News</v>
      </c>
      <c r="H814" s="6" t="s">
        <v>3</v>
      </c>
      <c r="I814" s="5" t="s">
        <v>305</v>
      </c>
      <c r="J814" s="5" t="s">
        <v>1700</v>
      </c>
      <c r="K814" s="5" t="s">
        <v>1874</v>
      </c>
    </row>
    <row r="815" spans="2:11" ht="15.75" hidden="1" customHeight="1" x14ac:dyDescent="0.2">
      <c r="B815" s="4" t="s">
        <v>1435</v>
      </c>
      <c r="C815" s="4" t="s">
        <v>426</v>
      </c>
      <c r="D815" s="4" t="s">
        <v>426</v>
      </c>
      <c r="E815" s="4" t="s">
        <v>17</v>
      </c>
      <c r="F815" s="4" t="s">
        <v>2283</v>
      </c>
      <c r="G815" s="19" t="str">
        <f>HYPERLINK("https://www.tribuneindia.com/news/archive/features/horse-injured-as-overloaded-cart-overturns-217483","News")</f>
        <v>News</v>
      </c>
      <c r="H815" s="6" t="s">
        <v>3</v>
      </c>
      <c r="I815" s="5" t="s">
        <v>305</v>
      </c>
      <c r="J815" s="5" t="s">
        <v>2059</v>
      </c>
      <c r="K815" s="5" t="s">
        <v>1430</v>
      </c>
    </row>
    <row r="816" spans="2:11" ht="15.75" hidden="1" customHeight="1" x14ac:dyDescent="0.2">
      <c r="B816" s="4" t="s">
        <v>1435</v>
      </c>
      <c r="C816" s="4" t="s">
        <v>299</v>
      </c>
      <c r="D816" s="4" t="s">
        <v>28</v>
      </c>
      <c r="E816" s="4" t="s">
        <v>5</v>
      </c>
      <c r="F816" s="4" t="s">
        <v>2282</v>
      </c>
      <c r="G816" s="14" t="s">
        <v>11</v>
      </c>
      <c r="H816" s="6" t="s">
        <v>11</v>
      </c>
      <c r="I816" s="5" t="s">
        <v>305</v>
      </c>
      <c r="J816" s="5" t="s">
        <v>15</v>
      </c>
      <c r="K816" s="4" t="s">
        <v>840</v>
      </c>
    </row>
    <row r="817" spans="2:11" ht="15.75" hidden="1" customHeight="1" x14ac:dyDescent="0.2">
      <c r="B817" s="4" t="s">
        <v>1435</v>
      </c>
      <c r="C817" s="4" t="s">
        <v>111</v>
      </c>
      <c r="D817" s="4" t="s">
        <v>24</v>
      </c>
      <c r="E817" s="4" t="s">
        <v>17</v>
      </c>
      <c r="F817" s="4" t="s">
        <v>2281</v>
      </c>
      <c r="G817" s="19" t="str">
        <f>HYPERLINK("https://pfahyd.org/wp-content/uploads/2017/01/PFA_Qtly_Hlts_Oct_Dec_2016.pdf","PFA Hyderabad")</f>
        <v>PFA Hyderabad</v>
      </c>
      <c r="H817" s="6" t="s">
        <v>272</v>
      </c>
      <c r="I817" s="5" t="s">
        <v>305</v>
      </c>
      <c r="J817" s="5" t="s">
        <v>2059</v>
      </c>
      <c r="K817" s="5" t="s">
        <v>1449</v>
      </c>
    </row>
    <row r="818" spans="2:11" ht="15.75" hidden="1" customHeight="1" x14ac:dyDescent="0.2">
      <c r="B818" s="4" t="s">
        <v>1435</v>
      </c>
      <c r="C818" s="4" t="s">
        <v>706</v>
      </c>
      <c r="D818" s="4" t="s">
        <v>18</v>
      </c>
      <c r="E818" s="4" t="s">
        <v>5</v>
      </c>
      <c r="F818" s="4" t="s">
        <v>2280</v>
      </c>
      <c r="G818" s="14" t="str">
        <f>HYPERLINK("https://timesofindia.indiatimes.com/city/nagpur/Injured-horse-dies-hospital-draws-flak-from-animal-lovers/articleshow/51833276.cms","News")</f>
        <v>News</v>
      </c>
      <c r="H818" s="6" t="s">
        <v>3</v>
      </c>
      <c r="I818" s="5" t="s">
        <v>305</v>
      </c>
      <c r="J818" s="5" t="s">
        <v>2120</v>
      </c>
      <c r="K818" s="5" t="s">
        <v>1430</v>
      </c>
    </row>
    <row r="819" spans="2:11" ht="15.75" hidden="1" customHeight="1" x14ac:dyDescent="0.2">
      <c r="B819" s="4" t="s">
        <v>1435</v>
      </c>
      <c r="C819" s="4" t="s">
        <v>313</v>
      </c>
      <c r="D819" s="4" t="s">
        <v>42</v>
      </c>
      <c r="E819" s="4" t="s">
        <v>5</v>
      </c>
      <c r="F819" s="4" t="s">
        <v>2279</v>
      </c>
      <c r="G819" s="19" t="str">
        <f>HYPERLINK("https://timesofindia.indiatimes.com/city/agra/After-four-decades-of-slavery-circus-elephant-Rhea-to-walk-free/articleshow/51859046.cms","News")</f>
        <v>News</v>
      </c>
      <c r="H819" s="6" t="s">
        <v>3</v>
      </c>
      <c r="I819" s="5" t="s">
        <v>305</v>
      </c>
      <c r="J819" s="5" t="s">
        <v>1492</v>
      </c>
      <c r="K819" s="5" t="s">
        <v>64</v>
      </c>
    </row>
    <row r="820" spans="2:11" ht="15.75" hidden="1" customHeight="1" x14ac:dyDescent="0.2">
      <c r="B820" s="4" t="s">
        <v>1435</v>
      </c>
      <c r="C820" s="6"/>
      <c r="D820" s="4" t="s">
        <v>62</v>
      </c>
      <c r="E820" s="4" t="s">
        <v>23</v>
      </c>
      <c r="F820" s="4" t="s">
        <v>2278</v>
      </c>
      <c r="G820" s="19" t="str">
        <f>HYPERLINK("https://thewire.in/rights/uttarakhand-police-horse-shaktiman-dies","News")</f>
        <v>News</v>
      </c>
      <c r="H820" s="6" t="s">
        <v>3</v>
      </c>
      <c r="I820" s="5" t="s">
        <v>305</v>
      </c>
      <c r="J820" s="5" t="s">
        <v>15</v>
      </c>
      <c r="K820" s="5" t="s">
        <v>1430</v>
      </c>
    </row>
    <row r="821" spans="2:11" ht="15.75" hidden="1" customHeight="1" x14ac:dyDescent="0.2">
      <c r="B821" s="4" t="s">
        <v>1435</v>
      </c>
      <c r="C821" s="4" t="s">
        <v>130</v>
      </c>
      <c r="D821" s="4" t="s">
        <v>77</v>
      </c>
      <c r="E821" s="4" t="s">
        <v>159</v>
      </c>
      <c r="F821" s="4" t="s">
        <v>2277</v>
      </c>
      <c r="G821" s="19" t="str">
        <f>HYPERLINK("https://www.facebook.com/peopleforanimalschennai/photos/a.232046000257036/847634392031524/?type=3&amp;theater","Facebook")</f>
        <v>Facebook</v>
      </c>
      <c r="H821" s="6" t="s">
        <v>11</v>
      </c>
      <c r="I821" s="5" t="s">
        <v>305</v>
      </c>
      <c r="J821" s="5" t="s">
        <v>2059</v>
      </c>
      <c r="K821" s="5" t="s">
        <v>1430</v>
      </c>
    </row>
    <row r="822" spans="2:11" ht="15.75" hidden="1" customHeight="1" x14ac:dyDescent="0.2">
      <c r="B822" s="4" t="s">
        <v>1435</v>
      </c>
      <c r="C822" s="6"/>
      <c r="D822" s="6" t="s">
        <v>28</v>
      </c>
      <c r="E822" s="4" t="s">
        <v>17</v>
      </c>
      <c r="F822" s="4" t="s">
        <v>2276</v>
      </c>
      <c r="G822" s="19" t="str">
        <f>HYPERLINK("https://www.youtube.com/watch?v=jVTRrg9Q9HA","Youtube ")</f>
        <v xml:space="preserve">Youtube </v>
      </c>
      <c r="H822" s="6" t="s">
        <v>3</v>
      </c>
      <c r="I822" s="5" t="s">
        <v>305</v>
      </c>
      <c r="J822" s="5" t="s">
        <v>2059</v>
      </c>
      <c r="K822" s="5" t="s">
        <v>64</v>
      </c>
    </row>
    <row r="823" spans="2:11" ht="15.75" hidden="1" customHeight="1" x14ac:dyDescent="0.2">
      <c r="B823" s="4" t="s">
        <v>1435</v>
      </c>
      <c r="C823" s="4"/>
      <c r="D823" s="4"/>
      <c r="E823" s="4" t="s">
        <v>17</v>
      </c>
      <c r="F823" s="4" t="s">
        <v>2275</v>
      </c>
      <c r="G823" s="19" t="str">
        <f>HYPERLINK("https://www.youtube.com/watch?v=sty6Zt2ZTCA","Youtube")</f>
        <v>Youtube</v>
      </c>
      <c r="H823" s="6" t="s">
        <v>3</v>
      </c>
      <c r="I823" s="5" t="s">
        <v>305</v>
      </c>
      <c r="J823" s="5" t="s">
        <v>1492</v>
      </c>
      <c r="K823" s="5" t="s">
        <v>1430</v>
      </c>
    </row>
    <row r="824" spans="2:11" ht="15.75" hidden="1" customHeight="1" x14ac:dyDescent="0.2">
      <c r="B824" s="4" t="s">
        <v>1435</v>
      </c>
      <c r="C824" s="4" t="s">
        <v>2274</v>
      </c>
      <c r="D824" s="4" t="s">
        <v>221</v>
      </c>
      <c r="E824" s="4" t="s">
        <v>17</v>
      </c>
      <c r="F824" s="4" t="s">
        <v>2273</v>
      </c>
      <c r="G824" s="19" t="str">
        <f>HYPERLINK("https://www.change.org/p/wwf-india-the-double-humped-camels-of-nubra-valley-ladakh-need-you","Change.org")</f>
        <v>Change.org</v>
      </c>
      <c r="H824" s="6" t="s">
        <v>11</v>
      </c>
      <c r="I824" s="5" t="s">
        <v>305</v>
      </c>
      <c r="J824" s="5" t="s">
        <v>2059</v>
      </c>
      <c r="K824" s="5" t="s">
        <v>840</v>
      </c>
    </row>
    <row r="825" spans="2:11" ht="15.75" hidden="1" customHeight="1" x14ac:dyDescent="0.2">
      <c r="B825" s="4" t="s">
        <v>1435</v>
      </c>
      <c r="C825" s="4" t="s">
        <v>111</v>
      </c>
      <c r="D825" s="4" t="s">
        <v>24</v>
      </c>
      <c r="E825" s="4" t="s">
        <v>17</v>
      </c>
      <c r="F825" s="4" t="s">
        <v>2272</v>
      </c>
      <c r="G825" s="19" t="str">
        <f>HYPERLINK("https://pfahyd.org/wp-content/uploads/files/PFA_Qtly_Hlts_Apr_Jun_16.pdf","PFA Hyderabad")</f>
        <v>PFA Hyderabad</v>
      </c>
      <c r="H825" s="6" t="s">
        <v>272</v>
      </c>
      <c r="I825" s="5" t="s">
        <v>305</v>
      </c>
      <c r="J825" s="5" t="s">
        <v>92</v>
      </c>
      <c r="K825" s="5" t="s">
        <v>204</v>
      </c>
    </row>
    <row r="826" spans="2:11" ht="15.75" hidden="1" customHeight="1" x14ac:dyDescent="0.2">
      <c r="B826" s="4" t="s">
        <v>1435</v>
      </c>
      <c r="C826" s="4" t="s">
        <v>2230</v>
      </c>
      <c r="D826" s="4" t="s">
        <v>28</v>
      </c>
      <c r="E826" s="4" t="s">
        <v>23</v>
      </c>
      <c r="F826" s="4" t="s">
        <v>2271</v>
      </c>
      <c r="G826" s="14" t="s">
        <v>3</v>
      </c>
      <c r="H826" s="6" t="s">
        <v>3</v>
      </c>
      <c r="I826" s="5" t="s">
        <v>305</v>
      </c>
      <c r="J826" s="5" t="s">
        <v>15</v>
      </c>
      <c r="K826" s="5" t="s">
        <v>1430</v>
      </c>
    </row>
    <row r="827" spans="2:11" ht="15.75" hidden="1" customHeight="1" x14ac:dyDescent="0.2">
      <c r="B827" s="4" t="s">
        <v>1435</v>
      </c>
      <c r="C827" s="4" t="s">
        <v>2270</v>
      </c>
      <c r="D827" s="4" t="s">
        <v>36</v>
      </c>
      <c r="E827" s="4" t="s">
        <v>17</v>
      </c>
      <c r="F827" s="4" t="s">
        <v>2269</v>
      </c>
      <c r="G827" s="14" t="str">
        <f>HYPERLINK("http://www.uniindia.com/17-animals-rescued-from-rajkamal-circus/other/news/489350.html","News")</f>
        <v>News</v>
      </c>
      <c r="H827" s="6" t="s">
        <v>3</v>
      </c>
      <c r="I827" s="5" t="s">
        <v>305</v>
      </c>
      <c r="J827" s="5" t="s">
        <v>1436</v>
      </c>
      <c r="K827" s="5" t="s">
        <v>204</v>
      </c>
    </row>
    <row r="828" spans="2:11" ht="15.75" hidden="1" customHeight="1" x14ac:dyDescent="0.2">
      <c r="B828" s="4" t="s">
        <v>1435</v>
      </c>
      <c r="C828" s="4" t="s">
        <v>139</v>
      </c>
      <c r="D828" s="4" t="s">
        <v>18</v>
      </c>
      <c r="E828" s="4" t="s">
        <v>27</v>
      </c>
      <c r="F828" s="4" t="s">
        <v>2268</v>
      </c>
      <c r="G828" s="4" t="s">
        <v>177</v>
      </c>
      <c r="H828" s="6" t="s">
        <v>272</v>
      </c>
      <c r="I828" s="5" t="s">
        <v>305</v>
      </c>
      <c r="J828" s="5" t="s">
        <v>1436</v>
      </c>
      <c r="K828" s="5" t="s">
        <v>204</v>
      </c>
    </row>
    <row r="829" spans="2:11" ht="15.75" hidden="1" customHeight="1" x14ac:dyDescent="0.2">
      <c r="B829" s="4" t="s">
        <v>1435</v>
      </c>
      <c r="C829" s="4" t="s">
        <v>228</v>
      </c>
      <c r="D829" s="4" t="s">
        <v>36</v>
      </c>
      <c r="E829" s="4" t="s">
        <v>17</v>
      </c>
      <c r="F829" s="4" t="s">
        <v>2267</v>
      </c>
      <c r="G829" s="19" t="s">
        <v>944</v>
      </c>
      <c r="H829" s="6" t="s">
        <v>272</v>
      </c>
      <c r="I829" s="5" t="s">
        <v>305</v>
      </c>
      <c r="J829" s="5" t="s">
        <v>1485</v>
      </c>
      <c r="K829" s="5" t="s">
        <v>639</v>
      </c>
    </row>
    <row r="830" spans="2:11" ht="15.75" hidden="1" customHeight="1" x14ac:dyDescent="0.2">
      <c r="B830" s="4" t="s">
        <v>1435</v>
      </c>
      <c r="C830" s="4" t="s">
        <v>228</v>
      </c>
      <c r="D830" s="4" t="s">
        <v>36</v>
      </c>
      <c r="E830" s="4" t="s">
        <v>159</v>
      </c>
      <c r="F830" s="4" t="s">
        <v>2266</v>
      </c>
      <c r="G830" s="4" t="s">
        <v>289</v>
      </c>
      <c r="H830" s="6" t="s">
        <v>272</v>
      </c>
      <c r="I830" s="5" t="s">
        <v>305</v>
      </c>
      <c r="J830" s="5" t="s">
        <v>852</v>
      </c>
      <c r="K830" s="5" t="s">
        <v>288</v>
      </c>
    </row>
    <row r="831" spans="2:11" ht="15.75" hidden="1" customHeight="1" x14ac:dyDescent="0.2">
      <c r="B831" s="4" t="s">
        <v>1435</v>
      </c>
      <c r="C831" s="6"/>
      <c r="D831" s="6"/>
      <c r="E831" s="4" t="s">
        <v>17</v>
      </c>
      <c r="F831" s="4" t="s">
        <v>2265</v>
      </c>
      <c r="G831" s="19" t="str">
        <f>HYPERLINK("https://www.youtube.com/watch?v=PrwfY1Ea4bo","Youtube")</f>
        <v>Youtube</v>
      </c>
      <c r="H831" s="6" t="s">
        <v>3</v>
      </c>
      <c r="I831" s="5" t="s">
        <v>305</v>
      </c>
      <c r="J831" s="5" t="s">
        <v>1436</v>
      </c>
      <c r="K831" s="5" t="s">
        <v>288</v>
      </c>
    </row>
    <row r="832" spans="2:11" ht="15.75" hidden="1" customHeight="1" x14ac:dyDescent="0.2">
      <c r="B832" s="4" t="s">
        <v>1435</v>
      </c>
      <c r="C832" s="4" t="s">
        <v>130</v>
      </c>
      <c r="D832" s="4" t="s">
        <v>77</v>
      </c>
      <c r="E832" s="4" t="s">
        <v>17</v>
      </c>
      <c r="F832" s="4" t="s">
        <v>2264</v>
      </c>
      <c r="G832" s="19" t="s">
        <v>1467</v>
      </c>
      <c r="H832" s="6" t="s">
        <v>11</v>
      </c>
      <c r="I832" s="5" t="s">
        <v>305</v>
      </c>
      <c r="J832" s="5" t="s">
        <v>1436</v>
      </c>
      <c r="K832" s="5" t="s">
        <v>432</v>
      </c>
    </row>
    <row r="833" spans="2:11" ht="15.75" hidden="1" customHeight="1" x14ac:dyDescent="0.2">
      <c r="B833" s="4" t="s">
        <v>1435</v>
      </c>
      <c r="C833" s="4"/>
      <c r="D833" s="4" t="s">
        <v>97</v>
      </c>
      <c r="E833" s="4" t="s">
        <v>17</v>
      </c>
      <c r="F833" s="4" t="s">
        <v>2263</v>
      </c>
      <c r="G833" s="19" t="str">
        <f>HYPERLINK("https://www.firstpost.com/living/how-royal-indian-weddings-inflict-torture-on-illegally-hired-elephants-2832002.html","News")</f>
        <v>News</v>
      </c>
      <c r="H833" s="6" t="s">
        <v>3</v>
      </c>
      <c r="I833" s="5" t="s">
        <v>305</v>
      </c>
      <c r="J833" s="5" t="s">
        <v>2059</v>
      </c>
      <c r="K833" s="5" t="s">
        <v>64</v>
      </c>
    </row>
    <row r="834" spans="2:11" ht="15.75" hidden="1" customHeight="1" x14ac:dyDescent="0.2">
      <c r="B834" s="4" t="s">
        <v>1435</v>
      </c>
      <c r="C834" s="4" t="s">
        <v>228</v>
      </c>
      <c r="D834" s="4" t="s">
        <v>36</v>
      </c>
      <c r="E834" s="4" t="s">
        <v>159</v>
      </c>
      <c r="F834" s="4" t="s">
        <v>2262</v>
      </c>
      <c r="G834" s="19" t="s">
        <v>289</v>
      </c>
      <c r="H834" s="6" t="s">
        <v>272</v>
      </c>
      <c r="I834" s="5" t="s">
        <v>305</v>
      </c>
      <c r="J834" s="5" t="s">
        <v>1439</v>
      </c>
      <c r="K834" s="5" t="s">
        <v>288</v>
      </c>
    </row>
    <row r="835" spans="2:11" ht="15.75" hidden="1" customHeight="1" x14ac:dyDescent="0.2">
      <c r="B835" s="4" t="s">
        <v>1435</v>
      </c>
      <c r="C835" s="4"/>
      <c r="D835" s="4"/>
      <c r="E835" s="4" t="s">
        <v>17</v>
      </c>
      <c r="F835" s="4" t="s">
        <v>2261</v>
      </c>
      <c r="G835" s="19" t="str">
        <f>HYPERLINK("https://www.firstpost.com/living/how-royal-indian-weddings-inflict-torture-on-illegally-hired-elephants-2832002.html","News")</f>
        <v>News</v>
      </c>
      <c r="H835" s="6" t="s">
        <v>3</v>
      </c>
      <c r="I835" s="5" t="s">
        <v>305</v>
      </c>
      <c r="J835" s="5" t="s">
        <v>1439</v>
      </c>
      <c r="K835" s="5" t="s">
        <v>204</v>
      </c>
    </row>
    <row r="836" spans="2:11" ht="15.75" hidden="1" customHeight="1" x14ac:dyDescent="0.2">
      <c r="B836" s="4" t="s">
        <v>1435</v>
      </c>
      <c r="C836" s="4" t="s">
        <v>2260</v>
      </c>
      <c r="D836" s="4" t="s">
        <v>42</v>
      </c>
      <c r="E836" s="4" t="s">
        <v>23</v>
      </c>
      <c r="F836" s="4" t="s">
        <v>2259</v>
      </c>
      <c r="G836" s="14" t="s">
        <v>11</v>
      </c>
      <c r="H836" s="6" t="s">
        <v>11</v>
      </c>
      <c r="I836" s="5" t="s">
        <v>305</v>
      </c>
      <c r="J836" s="5" t="s">
        <v>20</v>
      </c>
      <c r="K836" s="5" t="s">
        <v>1430</v>
      </c>
    </row>
    <row r="837" spans="2:11" ht="15.75" hidden="1" customHeight="1" x14ac:dyDescent="0.2">
      <c r="B837" s="4" t="s">
        <v>1435</v>
      </c>
      <c r="C837" s="6"/>
      <c r="D837" s="4" t="s">
        <v>42</v>
      </c>
      <c r="E837" s="6" t="s">
        <v>17</v>
      </c>
      <c r="F837" s="4" t="s">
        <v>2258</v>
      </c>
      <c r="G837" s="19" t="str">
        <f>HYPERLINK("https://www.firstpost.com/living/the-horror-behind-pigeon-racing-its-high-time-we-took-action-against-animal-torture-2660728.html","News")</f>
        <v>News</v>
      </c>
      <c r="H837" s="6" t="s">
        <v>3</v>
      </c>
      <c r="I837" s="5" t="s">
        <v>305</v>
      </c>
      <c r="J837" s="5" t="s">
        <v>1700</v>
      </c>
      <c r="K837" s="5" t="s">
        <v>147</v>
      </c>
    </row>
    <row r="838" spans="2:11" ht="15.75" hidden="1" customHeight="1" x14ac:dyDescent="0.2">
      <c r="B838" s="4" t="s">
        <v>1435</v>
      </c>
      <c r="C838" s="4" t="s">
        <v>2257</v>
      </c>
      <c r="D838" s="4" t="s">
        <v>236</v>
      </c>
      <c r="E838" s="4" t="s">
        <v>23</v>
      </c>
      <c r="F838" s="4" t="s">
        <v>2256</v>
      </c>
      <c r="G838" s="19" t="str">
        <f>HYPERLINK("http://englishnews.thegoan.net/story.php?id=19352","News")</f>
        <v>News</v>
      </c>
      <c r="H838" s="6" t="s">
        <v>3</v>
      </c>
      <c r="I838" s="5" t="s">
        <v>305</v>
      </c>
      <c r="J838" s="5" t="s">
        <v>1700</v>
      </c>
      <c r="K838" s="5" t="s">
        <v>34</v>
      </c>
    </row>
    <row r="839" spans="2:11" ht="15.75" hidden="1" customHeight="1" x14ac:dyDescent="0.2">
      <c r="B839" s="4" t="s">
        <v>1435</v>
      </c>
      <c r="C839" s="5" t="s">
        <v>111</v>
      </c>
      <c r="D839" s="4" t="s">
        <v>24</v>
      </c>
      <c r="E839" s="5" t="s">
        <v>5</v>
      </c>
      <c r="F839" s="4" t="s">
        <v>2255</v>
      </c>
      <c r="G839" s="19" t="s">
        <v>11</v>
      </c>
      <c r="H839" s="6" t="s">
        <v>11</v>
      </c>
      <c r="I839" s="5" t="s">
        <v>305</v>
      </c>
      <c r="J839" s="5" t="s">
        <v>15</v>
      </c>
      <c r="K839" s="5" t="s">
        <v>1430</v>
      </c>
    </row>
    <row r="840" spans="2:11" ht="15.75" hidden="1" customHeight="1" x14ac:dyDescent="0.2">
      <c r="B840" s="4" t="s">
        <v>1435</v>
      </c>
      <c r="C840" s="4" t="s">
        <v>706</v>
      </c>
      <c r="D840" s="4" t="s">
        <v>18</v>
      </c>
      <c r="E840" s="4" t="s">
        <v>5</v>
      </c>
      <c r="F840" s="4" t="s">
        <v>2254</v>
      </c>
      <c r="G840" s="19" t="str">
        <f>HYPERLINK("https://timesofindia.indiatimes.com/city/nagpur/Young-bull-suffers-acid-attack-rescued/articleshow/52920786.cms","News")</f>
        <v>News</v>
      </c>
      <c r="H840" s="6" t="s">
        <v>3</v>
      </c>
      <c r="I840" s="5" t="s">
        <v>305</v>
      </c>
      <c r="J840" s="5" t="s">
        <v>2120</v>
      </c>
      <c r="K840" s="5" t="s">
        <v>34</v>
      </c>
    </row>
    <row r="841" spans="2:11" ht="15.75" hidden="1" customHeight="1" x14ac:dyDescent="0.2">
      <c r="B841" s="4" t="s">
        <v>1435</v>
      </c>
      <c r="C841" s="6"/>
      <c r="D841" s="6"/>
      <c r="E841" s="4" t="s">
        <v>17</v>
      </c>
      <c r="F841" s="4" t="s">
        <v>2253</v>
      </c>
      <c r="G841" s="19" t="str">
        <f>HYPERLINK("https://www.youtube.com/watch?v=8YtIQ3o7skU","Youtube")</f>
        <v>Youtube</v>
      </c>
      <c r="H841" s="6" t="s">
        <v>3</v>
      </c>
      <c r="I841" s="5" t="s">
        <v>305</v>
      </c>
      <c r="J841" s="5" t="s">
        <v>2059</v>
      </c>
      <c r="K841" s="5" t="s">
        <v>639</v>
      </c>
    </row>
    <row r="842" spans="2:11" ht="15.75" hidden="1" customHeight="1" x14ac:dyDescent="0.2">
      <c r="B842" s="4" t="s">
        <v>1435</v>
      </c>
      <c r="C842" s="4" t="s">
        <v>111</v>
      </c>
      <c r="D842" s="4" t="s">
        <v>24</v>
      </c>
      <c r="E842" s="4" t="s">
        <v>17</v>
      </c>
      <c r="F842" s="4" t="s">
        <v>2252</v>
      </c>
      <c r="G842" s="19" t="str">
        <f>HYPERLINK("https://pfahyd.org/wp-content/uploads/files/PFA_Qtly_Hlts_Jul_Sep_16.pdf","PFA Hyderabad")</f>
        <v>PFA Hyderabad</v>
      </c>
      <c r="H842" s="6" t="s">
        <v>272</v>
      </c>
      <c r="I842" s="5" t="s">
        <v>305</v>
      </c>
      <c r="J842" s="5" t="s">
        <v>50</v>
      </c>
      <c r="K842" s="5" t="s">
        <v>509</v>
      </c>
    </row>
    <row r="843" spans="2:11" ht="15.75" hidden="1" customHeight="1" x14ac:dyDescent="0.2">
      <c r="B843" s="4" t="s">
        <v>1435</v>
      </c>
      <c r="C843" s="4" t="s">
        <v>228</v>
      </c>
      <c r="D843" s="4" t="s">
        <v>36</v>
      </c>
      <c r="E843" s="4" t="s">
        <v>159</v>
      </c>
      <c r="F843" s="4" t="s">
        <v>2251</v>
      </c>
      <c r="G843" s="4" t="s">
        <v>289</v>
      </c>
      <c r="H843" s="6" t="s">
        <v>272</v>
      </c>
      <c r="I843" s="5" t="s">
        <v>305</v>
      </c>
      <c r="J843" s="5" t="s">
        <v>50</v>
      </c>
      <c r="K843" s="5" t="s">
        <v>509</v>
      </c>
    </row>
    <row r="844" spans="2:11" ht="15.75" hidden="1" customHeight="1" x14ac:dyDescent="0.2">
      <c r="B844" s="4" t="s">
        <v>1435</v>
      </c>
      <c r="C844" s="4" t="s">
        <v>1363</v>
      </c>
      <c r="D844" s="4" t="s">
        <v>66</v>
      </c>
      <c r="E844" s="4" t="s">
        <v>17</v>
      </c>
      <c r="F844" s="4" t="s">
        <v>2250</v>
      </c>
      <c r="G844" s="19" t="str">
        <f>HYPERLINK("https://indianexpress.com/article/india/india-news-india/kerala-animal-rights-outfit-alleges-torture-of-elephant-at-vadakkumnathan-temple-2919736/","News")</f>
        <v>News</v>
      </c>
      <c r="H844" s="6" t="s">
        <v>3</v>
      </c>
      <c r="I844" s="5" t="s">
        <v>305</v>
      </c>
      <c r="J844" s="5" t="s">
        <v>1686</v>
      </c>
      <c r="K844" s="5" t="s">
        <v>64</v>
      </c>
    </row>
    <row r="845" spans="2:11" ht="15.75" hidden="1" customHeight="1" x14ac:dyDescent="0.2">
      <c r="B845" s="4" t="s">
        <v>1435</v>
      </c>
      <c r="C845" s="6" t="s">
        <v>2249</v>
      </c>
      <c r="D845" s="6" t="s">
        <v>94</v>
      </c>
      <c r="E845" s="6" t="s">
        <v>17</v>
      </c>
      <c r="F845" s="4" t="s">
        <v>2248</v>
      </c>
      <c r="G845" s="19" t="s">
        <v>11</v>
      </c>
      <c r="H845" s="6" t="s">
        <v>11</v>
      </c>
      <c r="I845" s="5" t="s">
        <v>305</v>
      </c>
      <c r="J845" s="5" t="s">
        <v>1436</v>
      </c>
      <c r="K845" s="5" t="s">
        <v>57</v>
      </c>
    </row>
    <row r="846" spans="2:11" ht="15.75" hidden="1" customHeight="1" x14ac:dyDescent="0.2">
      <c r="B846" s="4" t="s">
        <v>1435</v>
      </c>
      <c r="C846" s="4" t="s">
        <v>2247</v>
      </c>
      <c r="D846" s="4" t="s">
        <v>150</v>
      </c>
      <c r="E846" s="4" t="s">
        <v>17</v>
      </c>
      <c r="F846" s="4" t="s">
        <v>2246</v>
      </c>
      <c r="G846" s="19" t="str">
        <f>HYPERLINK("https://www.youtube.com/watch?v=78xldBMoO9w","Youtube")</f>
        <v>Youtube</v>
      </c>
      <c r="H846" s="6" t="s">
        <v>3</v>
      </c>
      <c r="I846" s="5" t="s">
        <v>305</v>
      </c>
      <c r="J846" s="5" t="s">
        <v>1439</v>
      </c>
      <c r="K846" s="5" t="s">
        <v>955</v>
      </c>
    </row>
    <row r="847" spans="2:11" ht="15.75" hidden="1" customHeight="1" x14ac:dyDescent="0.2">
      <c r="B847" s="4" t="s">
        <v>1435</v>
      </c>
      <c r="C847" s="4" t="s">
        <v>201</v>
      </c>
      <c r="D847" s="4" t="s">
        <v>154</v>
      </c>
      <c r="E847" s="4" t="s">
        <v>17</v>
      </c>
      <c r="F847" s="4" t="s">
        <v>2245</v>
      </c>
      <c r="G847" s="19" t="str">
        <f>HYPERLINK("https://www.youtube.com/watch?v=9RB9wpBtAHk","Youtube")</f>
        <v>Youtube</v>
      </c>
      <c r="H847" s="6" t="s">
        <v>3</v>
      </c>
      <c r="I847" s="5" t="s">
        <v>305</v>
      </c>
      <c r="J847" s="5" t="s">
        <v>1528</v>
      </c>
      <c r="K847" s="5" t="s">
        <v>1527</v>
      </c>
    </row>
    <row r="848" spans="2:11" ht="15.75" hidden="1" customHeight="1" x14ac:dyDescent="0.2">
      <c r="B848" s="4" t="s">
        <v>1435</v>
      </c>
      <c r="C848" s="4" t="s">
        <v>111</v>
      </c>
      <c r="D848" s="4" t="s">
        <v>24</v>
      </c>
      <c r="E848" s="4" t="s">
        <v>17</v>
      </c>
      <c r="F848" s="4" t="s">
        <v>2244</v>
      </c>
      <c r="G848" s="4" t="s">
        <v>177</v>
      </c>
      <c r="H848" s="6" t="s">
        <v>272</v>
      </c>
      <c r="I848" s="5" t="s">
        <v>305</v>
      </c>
      <c r="J848" s="5" t="s">
        <v>1492</v>
      </c>
      <c r="K848" s="5" t="s">
        <v>204</v>
      </c>
    </row>
    <row r="849" spans="2:11" ht="15.75" hidden="1" customHeight="1" x14ac:dyDescent="0.2">
      <c r="B849" s="4" t="s">
        <v>1435</v>
      </c>
      <c r="C849" s="4" t="s">
        <v>2243</v>
      </c>
      <c r="D849" s="4" t="s">
        <v>267</v>
      </c>
      <c r="E849" s="4" t="s">
        <v>23</v>
      </c>
      <c r="F849" s="4" t="s">
        <v>2242</v>
      </c>
      <c r="G849" s="19" t="str">
        <f>HYPERLINK("https://www.thehansindia.com/posts/index/Andhra-Pradesh/2016-06-08/Now-pig-fights-draw-punters/233559","News")</f>
        <v>News</v>
      </c>
      <c r="H849" s="6" t="s">
        <v>3</v>
      </c>
      <c r="I849" s="5" t="s">
        <v>305</v>
      </c>
      <c r="J849" s="5" t="s">
        <v>1700</v>
      </c>
      <c r="K849" s="5" t="s">
        <v>446</v>
      </c>
    </row>
    <row r="850" spans="2:11" ht="15.75" hidden="1" customHeight="1" x14ac:dyDescent="0.2">
      <c r="B850" s="4" t="s">
        <v>1435</v>
      </c>
      <c r="C850" s="4" t="s">
        <v>228</v>
      </c>
      <c r="D850" s="4" t="s">
        <v>36</v>
      </c>
      <c r="E850" s="4" t="s">
        <v>159</v>
      </c>
      <c r="F850" s="4" t="s">
        <v>2241</v>
      </c>
      <c r="G850" s="19" t="s">
        <v>289</v>
      </c>
      <c r="H850" s="6" t="s">
        <v>272</v>
      </c>
      <c r="I850" s="5" t="s">
        <v>305</v>
      </c>
      <c r="J850" s="5" t="s">
        <v>852</v>
      </c>
      <c r="K850" s="5" t="s">
        <v>288</v>
      </c>
    </row>
    <row r="851" spans="2:11" ht="15.75" hidden="1" customHeight="1" x14ac:dyDescent="0.2">
      <c r="B851" s="4" t="s">
        <v>1435</v>
      </c>
      <c r="C851" s="4" t="s">
        <v>228</v>
      </c>
      <c r="D851" s="4" t="s">
        <v>36</v>
      </c>
      <c r="E851" s="4" t="s">
        <v>159</v>
      </c>
      <c r="F851" s="4" t="s">
        <v>2240</v>
      </c>
      <c r="G851" s="4" t="s">
        <v>289</v>
      </c>
      <c r="H851" s="6" t="s">
        <v>272</v>
      </c>
      <c r="I851" s="5" t="s">
        <v>305</v>
      </c>
      <c r="J851" s="5" t="s">
        <v>1436</v>
      </c>
      <c r="K851" s="5" t="s">
        <v>288</v>
      </c>
    </row>
    <row r="852" spans="2:11" ht="15.75" hidden="1" customHeight="1" x14ac:dyDescent="0.2">
      <c r="B852" s="4" t="s">
        <v>1435</v>
      </c>
      <c r="C852" s="4" t="s">
        <v>130</v>
      </c>
      <c r="D852" s="4" t="s">
        <v>77</v>
      </c>
      <c r="E852" s="4" t="s">
        <v>23</v>
      </c>
      <c r="F852" s="4" t="s">
        <v>2239</v>
      </c>
      <c r="G852" s="20" t="str">
        <f>HYPERLINK("https://www.facebook.com/bluecrossofindia/posts/10154506834932170","Social media")</f>
        <v>Social media</v>
      </c>
      <c r="H852" s="6" t="s">
        <v>11</v>
      </c>
      <c r="I852" s="5" t="s">
        <v>305</v>
      </c>
      <c r="J852" s="5" t="s">
        <v>15</v>
      </c>
      <c r="K852" s="5" t="s">
        <v>19</v>
      </c>
    </row>
    <row r="853" spans="2:11" ht="15.75" hidden="1" customHeight="1" x14ac:dyDescent="0.2">
      <c r="B853" s="4" t="s">
        <v>1435</v>
      </c>
      <c r="C853" s="4" t="s">
        <v>91</v>
      </c>
      <c r="D853" s="4" t="s">
        <v>42</v>
      </c>
      <c r="E853" s="4" t="s">
        <v>23</v>
      </c>
      <c r="F853" s="4" t="s">
        <v>2238</v>
      </c>
      <c r="G853" s="19" t="str">
        <f>HYPERLINK("https://www.thedodo.com/mohan-elephant-freedom-wildlife-sos-2017717692.html","News")</f>
        <v>News</v>
      </c>
      <c r="H853" s="6" t="s">
        <v>3</v>
      </c>
      <c r="I853" s="5" t="s">
        <v>305</v>
      </c>
      <c r="J853" s="5" t="s">
        <v>1439</v>
      </c>
      <c r="K853" s="5" t="s">
        <v>64</v>
      </c>
    </row>
    <row r="854" spans="2:11" ht="15.75" hidden="1" customHeight="1" x14ac:dyDescent="0.2">
      <c r="B854" s="4" t="s">
        <v>1435</v>
      </c>
      <c r="C854" s="4" t="s">
        <v>111</v>
      </c>
      <c r="D854" s="4" t="s">
        <v>24</v>
      </c>
      <c r="E854" s="5" t="s">
        <v>23</v>
      </c>
      <c r="F854" s="4" t="s">
        <v>2237</v>
      </c>
      <c r="G854" s="19" t="str">
        <f>HYPERLINK("https://www.newindianexpress.com/cities/hyderabad/2016/mar/10/Elephant-Rescued-From-Circus-902043.html","News")</f>
        <v>News</v>
      </c>
      <c r="H854" s="6" t="s">
        <v>3</v>
      </c>
      <c r="I854" s="5" t="s">
        <v>305</v>
      </c>
      <c r="J854" s="5" t="s">
        <v>1439</v>
      </c>
      <c r="K854" s="5" t="s">
        <v>64</v>
      </c>
    </row>
    <row r="855" spans="2:11" ht="15.75" hidden="1" customHeight="1" x14ac:dyDescent="0.2">
      <c r="B855" s="4" t="s">
        <v>1435</v>
      </c>
      <c r="C855" s="6" t="s">
        <v>1170</v>
      </c>
      <c r="D855" s="6" t="s">
        <v>71</v>
      </c>
      <c r="E855" s="5" t="s">
        <v>27</v>
      </c>
      <c r="F855" s="4" t="s">
        <v>1169</v>
      </c>
      <c r="G855" s="19" t="s">
        <v>11</v>
      </c>
      <c r="H855" s="6" t="s">
        <v>11</v>
      </c>
      <c r="I855" s="5" t="s">
        <v>305</v>
      </c>
      <c r="J855" s="5" t="s">
        <v>15</v>
      </c>
      <c r="K855" s="5" t="s">
        <v>57</v>
      </c>
    </row>
    <row r="856" spans="2:11" ht="15.75" hidden="1" customHeight="1" x14ac:dyDescent="0.2">
      <c r="B856" s="4" t="s">
        <v>1435</v>
      </c>
      <c r="C856" s="4" t="s">
        <v>2236</v>
      </c>
      <c r="D856" s="4" t="s">
        <v>150</v>
      </c>
      <c r="E856" s="5" t="s">
        <v>159</v>
      </c>
      <c r="F856" s="4" t="s">
        <v>2235</v>
      </c>
      <c r="G856" s="19" t="str">
        <f>HYPERLINK("https://www.facebook.com/photo.php?fbid=10206527679023440&amp;set=pcb.1139014872831075&amp;type=3&amp;theater&amp;ifg=1","Facebook")</f>
        <v>Facebook</v>
      </c>
      <c r="H856" s="6" t="s">
        <v>11</v>
      </c>
      <c r="I856" s="5" t="s">
        <v>305</v>
      </c>
      <c r="J856" s="5" t="s">
        <v>1439</v>
      </c>
      <c r="K856" s="5" t="s">
        <v>19</v>
      </c>
    </row>
    <row r="857" spans="2:11" ht="15.75" hidden="1" customHeight="1" x14ac:dyDescent="0.2">
      <c r="B857" s="4" t="s">
        <v>1435</v>
      </c>
      <c r="C857" s="6"/>
      <c r="D857" s="4" t="s">
        <v>150</v>
      </c>
      <c r="E857" s="5" t="s">
        <v>23</v>
      </c>
      <c r="F857" s="4" t="s">
        <v>2234</v>
      </c>
      <c r="G857" s="19" t="s">
        <v>3</v>
      </c>
      <c r="H857" s="6" t="s">
        <v>3</v>
      </c>
      <c r="I857" s="5" t="s">
        <v>305</v>
      </c>
      <c r="J857" s="5" t="s">
        <v>1915</v>
      </c>
      <c r="K857" s="5" t="s">
        <v>2233</v>
      </c>
    </row>
    <row r="858" spans="2:11" ht="15.75" hidden="1" customHeight="1" x14ac:dyDescent="0.2">
      <c r="B858" s="4" t="s">
        <v>1435</v>
      </c>
      <c r="C858" s="6"/>
      <c r="D858" s="6"/>
      <c r="E858" s="5" t="s">
        <v>5</v>
      </c>
      <c r="F858" s="4" t="s">
        <v>2232</v>
      </c>
      <c r="G858" s="19" t="s">
        <v>3</v>
      </c>
      <c r="H858" s="6" t="s">
        <v>3</v>
      </c>
      <c r="I858" s="5" t="s">
        <v>305</v>
      </c>
      <c r="J858" s="5" t="s">
        <v>1915</v>
      </c>
      <c r="K858" s="5" t="s">
        <v>373</v>
      </c>
    </row>
    <row r="859" spans="2:11" ht="15.75" hidden="1" customHeight="1" x14ac:dyDescent="0.2">
      <c r="B859" s="4" t="s">
        <v>1435</v>
      </c>
      <c r="C859" s="4" t="s">
        <v>228</v>
      </c>
      <c r="D859" s="4" t="s">
        <v>36</v>
      </c>
      <c r="E859" s="5" t="s">
        <v>159</v>
      </c>
      <c r="F859" s="4" t="s">
        <v>2231</v>
      </c>
      <c r="G859" s="19" t="s">
        <v>944</v>
      </c>
      <c r="H859" s="6" t="s">
        <v>272</v>
      </c>
      <c r="I859" s="5" t="s">
        <v>305</v>
      </c>
      <c r="J859" s="5" t="s">
        <v>1485</v>
      </c>
      <c r="K859" s="5" t="s">
        <v>108</v>
      </c>
    </row>
    <row r="860" spans="2:11" ht="15.75" hidden="1" customHeight="1" x14ac:dyDescent="0.2">
      <c r="B860" s="4" t="s">
        <v>1435</v>
      </c>
      <c r="C860" s="4" t="s">
        <v>2230</v>
      </c>
      <c r="D860" s="4" t="s">
        <v>28</v>
      </c>
      <c r="E860" s="5" t="s">
        <v>23</v>
      </c>
      <c r="F860" s="4" t="s">
        <v>2229</v>
      </c>
      <c r="G860" s="19" t="str">
        <f>HYPERLINK("https://timesofindia.indiatimes.com/city/ahmedabad/No-end-to-horse-owners-cruelty/articleshow/54908180.cms","News")</f>
        <v>News</v>
      </c>
      <c r="H860" s="6" t="s">
        <v>3</v>
      </c>
      <c r="I860" s="5" t="s">
        <v>305</v>
      </c>
      <c r="J860" s="5" t="s">
        <v>1915</v>
      </c>
      <c r="K860" s="5" t="s">
        <v>1430</v>
      </c>
    </row>
    <row r="861" spans="2:11" ht="15.75" hidden="1" customHeight="1" x14ac:dyDescent="0.2">
      <c r="B861" s="4" t="s">
        <v>1435</v>
      </c>
      <c r="C861" s="4" t="s">
        <v>228</v>
      </c>
      <c r="D861" s="4" t="s">
        <v>36</v>
      </c>
      <c r="E861" s="4" t="s">
        <v>159</v>
      </c>
      <c r="F861" s="4" t="s">
        <v>2228</v>
      </c>
      <c r="G861" s="4" t="s">
        <v>289</v>
      </c>
      <c r="H861" s="6" t="s">
        <v>272</v>
      </c>
      <c r="I861" s="5" t="s">
        <v>305</v>
      </c>
      <c r="J861" s="5" t="s">
        <v>2227</v>
      </c>
      <c r="K861" s="5" t="s">
        <v>851</v>
      </c>
    </row>
    <row r="862" spans="2:11" ht="15.75" hidden="1" customHeight="1" x14ac:dyDescent="0.2">
      <c r="B862" s="4" t="s">
        <v>1435</v>
      </c>
      <c r="C862" s="4" t="s">
        <v>219</v>
      </c>
      <c r="D862" s="4" t="s">
        <v>42</v>
      </c>
      <c r="E862" s="4" t="s">
        <v>23</v>
      </c>
      <c r="F862" s="4" t="s">
        <v>2226</v>
      </c>
      <c r="G862" s="19" t="str">
        <f>HYPERLINK("https://timesofindia.indiatimes.com/city/bareilly/Admin-stops-cruel-cow-pig-fight-to-mark-Govardhan-puja-celebrations/articleshow/55165592.cms","News")</f>
        <v>News</v>
      </c>
      <c r="H862" s="6" t="s">
        <v>3</v>
      </c>
      <c r="I862" s="5" t="s">
        <v>305</v>
      </c>
      <c r="J862" s="5" t="s">
        <v>1686</v>
      </c>
      <c r="K862" s="5" t="s">
        <v>57</v>
      </c>
    </row>
    <row r="863" spans="2:11" ht="15.75" hidden="1" customHeight="1" x14ac:dyDescent="0.2">
      <c r="B863" s="4" t="s">
        <v>1435</v>
      </c>
      <c r="C863" s="4" t="s">
        <v>228</v>
      </c>
      <c r="D863" s="4" t="s">
        <v>36</v>
      </c>
      <c r="E863" s="4" t="s">
        <v>159</v>
      </c>
      <c r="F863" s="4" t="s">
        <v>2225</v>
      </c>
      <c r="G863" s="4" t="s">
        <v>289</v>
      </c>
      <c r="H863" s="6" t="s">
        <v>272</v>
      </c>
      <c r="I863" s="5" t="s">
        <v>305</v>
      </c>
      <c r="J863" s="5" t="s">
        <v>852</v>
      </c>
      <c r="K863" s="5" t="s">
        <v>851</v>
      </c>
    </row>
    <row r="864" spans="2:11" ht="15.75" hidden="1" customHeight="1" x14ac:dyDescent="0.2">
      <c r="B864" s="4" t="s">
        <v>1435</v>
      </c>
      <c r="C864" s="6" t="s">
        <v>2224</v>
      </c>
      <c r="D864" s="4" t="s">
        <v>236</v>
      </c>
      <c r="E864" s="5" t="s">
        <v>55</v>
      </c>
      <c r="F864" s="4" t="s">
        <v>2223</v>
      </c>
      <c r="G864" s="19" t="str">
        <f>HYPERLINK("http://englishnews.thegoan.net/story.php?id=26999","News")</f>
        <v>News</v>
      </c>
      <c r="H864" s="6" t="s">
        <v>3</v>
      </c>
      <c r="I864" s="5" t="s">
        <v>305</v>
      </c>
      <c r="J864" s="5" t="s">
        <v>1700</v>
      </c>
      <c r="K864" s="5" t="s">
        <v>34</v>
      </c>
    </row>
    <row r="865" spans="2:11" ht="15.75" hidden="1" customHeight="1" x14ac:dyDescent="0.2">
      <c r="B865" s="4" t="s">
        <v>1435</v>
      </c>
      <c r="C865" s="4" t="s">
        <v>228</v>
      </c>
      <c r="D865" s="4" t="s">
        <v>36</v>
      </c>
      <c r="E865" s="4" t="s">
        <v>159</v>
      </c>
      <c r="F865" s="4" t="s">
        <v>2222</v>
      </c>
      <c r="G865" s="4" t="s">
        <v>289</v>
      </c>
      <c r="H865" s="6" t="s">
        <v>272</v>
      </c>
      <c r="I865" s="5" t="s">
        <v>305</v>
      </c>
      <c r="J865" s="5" t="s">
        <v>852</v>
      </c>
      <c r="K865" s="5" t="s">
        <v>851</v>
      </c>
    </row>
    <row r="866" spans="2:11" ht="15.75" hidden="1" customHeight="1" x14ac:dyDescent="0.2">
      <c r="B866" s="4" t="s">
        <v>1435</v>
      </c>
      <c r="C866" s="4"/>
      <c r="D866" s="4"/>
      <c r="E866" s="4" t="s">
        <v>17</v>
      </c>
      <c r="F866" s="4" t="s">
        <v>2221</v>
      </c>
      <c r="G866" s="14" t="s">
        <v>2220</v>
      </c>
      <c r="H866" s="6" t="s">
        <v>272</v>
      </c>
      <c r="I866" s="5" t="s">
        <v>305</v>
      </c>
      <c r="J866" s="5" t="s">
        <v>1753</v>
      </c>
      <c r="K866" s="5" t="s">
        <v>1430</v>
      </c>
    </row>
    <row r="867" spans="2:11" ht="15.75" hidden="1" customHeight="1" x14ac:dyDescent="0.2">
      <c r="B867" s="4" t="s">
        <v>1435</v>
      </c>
      <c r="C867" s="6"/>
      <c r="D867" s="4" t="s">
        <v>42</v>
      </c>
      <c r="E867" s="5" t="s">
        <v>159</v>
      </c>
      <c r="F867" s="4" t="s">
        <v>2219</v>
      </c>
      <c r="G867" s="19" t="str">
        <f>HYPERLINK("https://www.youtube.com/watch?v=8W5OGzsm7sw","Youtube")</f>
        <v>Youtube</v>
      </c>
      <c r="H867" s="6" t="s">
        <v>3</v>
      </c>
      <c r="I867" s="5" t="s">
        <v>305</v>
      </c>
      <c r="J867" s="5" t="s">
        <v>1528</v>
      </c>
      <c r="K867" s="5" t="s">
        <v>1527</v>
      </c>
    </row>
    <row r="868" spans="2:11" ht="15.75" hidden="1" customHeight="1" x14ac:dyDescent="0.2">
      <c r="B868" s="4" t="s">
        <v>1435</v>
      </c>
      <c r="C868" s="6" t="s">
        <v>2218</v>
      </c>
      <c r="D868" s="4" t="s">
        <v>267</v>
      </c>
      <c r="E868" s="5" t="s">
        <v>159</v>
      </c>
      <c r="F868" s="4" t="s">
        <v>2217</v>
      </c>
      <c r="G868" s="19" t="str">
        <f>HYPERLINK("https://www.newindianexpress.com/states/andhra-pradesh/2016/nov/28/panchayat-raj-minister-falls-off-bullock-cart-during-yatra-in-andhra-pradesh-1543403.html","News")</f>
        <v>News</v>
      </c>
      <c r="H868" s="6" t="s">
        <v>3</v>
      </c>
      <c r="I868" s="5" t="s">
        <v>305</v>
      </c>
      <c r="J868" s="5" t="s">
        <v>1480</v>
      </c>
      <c r="K868" s="5" t="s">
        <v>34</v>
      </c>
    </row>
    <row r="869" spans="2:11" ht="15.75" hidden="1" customHeight="1" x14ac:dyDescent="0.2">
      <c r="B869" s="4" t="s">
        <v>1435</v>
      </c>
      <c r="C869" s="4" t="s">
        <v>2216</v>
      </c>
      <c r="D869" s="4" t="s">
        <v>236</v>
      </c>
      <c r="E869" s="5" t="s">
        <v>55</v>
      </c>
      <c r="F869" s="4" t="s">
        <v>2215</v>
      </c>
      <c r="G869" s="19" t="str">
        <f>HYPERLINK("http://englishnews.thegoan.net/story.php?id=12933","News")</f>
        <v>News</v>
      </c>
      <c r="H869" s="6" t="s">
        <v>3</v>
      </c>
      <c r="I869" s="5" t="s">
        <v>305</v>
      </c>
      <c r="J869" s="5" t="s">
        <v>1700</v>
      </c>
      <c r="K869" s="5" t="s">
        <v>34</v>
      </c>
    </row>
    <row r="870" spans="2:11" ht="15.75" hidden="1" customHeight="1" x14ac:dyDescent="0.2">
      <c r="B870" s="4" t="s">
        <v>1435</v>
      </c>
      <c r="C870" s="4" t="s">
        <v>2214</v>
      </c>
      <c r="D870" s="4" t="s">
        <v>13</v>
      </c>
      <c r="E870" s="4" t="s">
        <v>23</v>
      </c>
      <c r="F870" s="4" t="s">
        <v>2213</v>
      </c>
      <c r="G870" s="14" t="s">
        <v>3</v>
      </c>
      <c r="H870" s="6" t="s">
        <v>3</v>
      </c>
      <c r="I870" s="5" t="s">
        <v>305</v>
      </c>
      <c r="J870" s="4" t="s">
        <v>2212</v>
      </c>
      <c r="K870" s="4" t="s">
        <v>840</v>
      </c>
    </row>
    <row r="871" spans="2:11" ht="15.75" hidden="1" customHeight="1" x14ac:dyDescent="0.2">
      <c r="B871" s="4" t="s">
        <v>1435</v>
      </c>
      <c r="C871" s="4" t="s">
        <v>104</v>
      </c>
      <c r="D871" s="4" t="s">
        <v>18</v>
      </c>
      <c r="E871" s="5" t="s">
        <v>159</v>
      </c>
      <c r="F871" s="4" t="s">
        <v>2211</v>
      </c>
      <c r="G871" s="19" t="str">
        <f>HYPERLINK("https://www.dnaindia.com/mumbai/report-joyride-turns-scary-for-family-as-horse-collapses-on-road-2211550","News")</f>
        <v>News</v>
      </c>
      <c r="H871" s="6" t="s">
        <v>3</v>
      </c>
      <c r="I871" s="5" t="s">
        <v>305</v>
      </c>
      <c r="J871" s="5" t="s">
        <v>2059</v>
      </c>
      <c r="K871" s="5" t="s">
        <v>1430</v>
      </c>
    </row>
    <row r="872" spans="2:11" ht="15.75" hidden="1" customHeight="1" x14ac:dyDescent="0.2">
      <c r="B872" s="4" t="s">
        <v>1435</v>
      </c>
      <c r="C872" s="6"/>
      <c r="D872" s="6"/>
      <c r="E872" s="5" t="s">
        <v>159</v>
      </c>
      <c r="F872" s="4" t="s">
        <v>2210</v>
      </c>
      <c r="G872" s="19" t="str">
        <f>HYPERLINK("https://www.youtube.com/watch?v=l5WAlowMY-o","Youtube (Animal Aid Unlimited)")</f>
        <v>Youtube (Animal Aid Unlimited)</v>
      </c>
      <c r="H872" s="6" t="s">
        <v>272</v>
      </c>
      <c r="I872" s="5" t="s">
        <v>305</v>
      </c>
      <c r="J872" s="5" t="s">
        <v>1485</v>
      </c>
      <c r="K872" s="5" t="s">
        <v>639</v>
      </c>
    </row>
    <row r="873" spans="2:11" ht="15.75" hidden="1" customHeight="1" x14ac:dyDescent="0.2">
      <c r="B873" s="4" t="s">
        <v>1435</v>
      </c>
      <c r="C873" s="4" t="s">
        <v>2209</v>
      </c>
      <c r="D873" s="4" t="s">
        <v>18</v>
      </c>
      <c r="E873" s="4" t="s">
        <v>23</v>
      </c>
      <c r="F873" s="4" t="s">
        <v>2208</v>
      </c>
      <c r="G873" s="19" t="str">
        <f>HYPERLINK("https://m.facebook.com/story.php?story_fbid=1475046209172539&amp;id=100000015219256","Facebook")</f>
        <v>Facebook</v>
      </c>
      <c r="H873" s="6" t="s">
        <v>11</v>
      </c>
      <c r="I873" s="5" t="s">
        <v>305</v>
      </c>
      <c r="J873" s="5" t="s">
        <v>1700</v>
      </c>
      <c r="K873" s="5" t="s">
        <v>34</v>
      </c>
    </row>
    <row r="874" spans="2:11" ht="15.75" hidden="1" customHeight="1" x14ac:dyDescent="0.2">
      <c r="B874" s="4" t="s">
        <v>1435</v>
      </c>
      <c r="C874" s="4" t="s">
        <v>228</v>
      </c>
      <c r="D874" s="4" t="s">
        <v>36</v>
      </c>
      <c r="E874" s="4" t="s">
        <v>159</v>
      </c>
      <c r="F874" s="4" t="s">
        <v>2207</v>
      </c>
      <c r="G874" s="19" t="s">
        <v>289</v>
      </c>
      <c r="H874" s="6" t="s">
        <v>272</v>
      </c>
      <c r="I874" s="5" t="s">
        <v>305</v>
      </c>
      <c r="J874" s="5" t="s">
        <v>852</v>
      </c>
      <c r="K874" s="5" t="s">
        <v>288</v>
      </c>
    </row>
    <row r="875" spans="2:11" ht="15.75" hidden="1" customHeight="1" x14ac:dyDescent="0.2">
      <c r="B875" s="4" t="s">
        <v>1435</v>
      </c>
      <c r="C875" s="4" t="s">
        <v>104</v>
      </c>
      <c r="D875" s="4" t="s">
        <v>18</v>
      </c>
      <c r="E875" s="5" t="s">
        <v>159</v>
      </c>
      <c r="F875" s="4" t="s">
        <v>2206</v>
      </c>
      <c r="G875" s="19" t="str">
        <f>HYPERLINK("https://www.hindustantimes.com/mumbai-news/mumbai-cops-send-three-victoria-carriage-horses-to-hospital/story-VnW4wkSBVzmhiX2SypupIN.html","News")</f>
        <v>News</v>
      </c>
      <c r="H875" s="6" t="s">
        <v>3</v>
      </c>
      <c r="I875" s="5" t="s">
        <v>305</v>
      </c>
      <c r="J875" s="5" t="s">
        <v>2059</v>
      </c>
      <c r="K875" s="5" t="s">
        <v>1430</v>
      </c>
    </row>
    <row r="876" spans="2:11" ht="15.75" hidden="1" customHeight="1" x14ac:dyDescent="0.2">
      <c r="B876" s="4" t="s">
        <v>1435</v>
      </c>
      <c r="C876" s="4" t="s">
        <v>228</v>
      </c>
      <c r="D876" s="4" t="s">
        <v>36</v>
      </c>
      <c r="E876" s="4" t="s">
        <v>159</v>
      </c>
      <c r="F876" s="4" t="s">
        <v>2205</v>
      </c>
      <c r="G876" s="4" t="s">
        <v>289</v>
      </c>
      <c r="H876" s="6" t="s">
        <v>272</v>
      </c>
      <c r="I876" s="5" t="s">
        <v>305</v>
      </c>
      <c r="J876" s="5" t="s">
        <v>1522</v>
      </c>
      <c r="K876" s="5" t="s">
        <v>851</v>
      </c>
    </row>
    <row r="877" spans="2:11" ht="15.75" hidden="1" customHeight="1" x14ac:dyDescent="0.2">
      <c r="B877" s="4" t="s">
        <v>1435</v>
      </c>
      <c r="C877" s="4" t="s">
        <v>150</v>
      </c>
      <c r="D877" s="4" t="s">
        <v>150</v>
      </c>
      <c r="E877" s="5" t="s">
        <v>23</v>
      </c>
      <c r="F877" s="4" t="s">
        <v>2204</v>
      </c>
      <c r="G877" s="19" t="str">
        <f>HYPERLINK("https://www.indiatoday.in/mail-today/story/beggar-elephants-free-torture-ill-keep-animal-board-report-359095-2016-12-23","News")</f>
        <v>News</v>
      </c>
      <c r="H877" s="6" t="s">
        <v>3</v>
      </c>
      <c r="I877" s="5" t="s">
        <v>305</v>
      </c>
      <c r="J877" s="5" t="s">
        <v>1439</v>
      </c>
      <c r="K877" s="5" t="s">
        <v>64</v>
      </c>
    </row>
    <row r="878" spans="2:11" ht="15.75" hidden="1" customHeight="1" x14ac:dyDescent="0.2">
      <c r="B878" s="4" t="s">
        <v>1435</v>
      </c>
      <c r="C878" s="6"/>
      <c r="D878" s="6"/>
      <c r="E878" s="5" t="s">
        <v>5</v>
      </c>
      <c r="F878" s="4" t="s">
        <v>2203</v>
      </c>
      <c r="G878" s="19" t="s">
        <v>2202</v>
      </c>
      <c r="H878" s="6" t="s">
        <v>1620</v>
      </c>
      <c r="I878" s="5" t="s">
        <v>305</v>
      </c>
      <c r="J878" s="5" t="s">
        <v>2059</v>
      </c>
      <c r="K878" s="5" t="s">
        <v>2201</v>
      </c>
    </row>
    <row r="879" spans="2:11" ht="15.75" hidden="1" customHeight="1" x14ac:dyDescent="0.2">
      <c r="B879" s="4" t="s">
        <v>1435</v>
      </c>
      <c r="C879" s="4" t="s">
        <v>2200</v>
      </c>
      <c r="D879" s="4" t="s">
        <v>267</v>
      </c>
      <c r="E879" s="5" t="s">
        <v>159</v>
      </c>
      <c r="F879" s="4" t="s">
        <v>2199</v>
      </c>
      <c r="G879" s="19" t="str">
        <f>HYPERLINK("https://www.indiatoday.in/india/story/politicians-cockfights-high-court-ban-cock-fight-bull-fight-makar-sankranti-andhra-pradesh-954856-2017-01-13","News")</f>
        <v>News</v>
      </c>
      <c r="H879" s="6" t="s">
        <v>3</v>
      </c>
      <c r="I879" s="5" t="s">
        <v>305</v>
      </c>
      <c r="J879" s="5" t="s">
        <v>1700</v>
      </c>
      <c r="K879" s="5" t="s">
        <v>1518</v>
      </c>
    </row>
    <row r="880" spans="2:11" ht="15.75" hidden="1" customHeight="1" x14ac:dyDescent="0.2">
      <c r="B880" s="4" t="s">
        <v>1435</v>
      </c>
      <c r="C880" s="4" t="s">
        <v>2198</v>
      </c>
      <c r="D880" s="4" t="s">
        <v>18</v>
      </c>
      <c r="E880" s="5" t="s">
        <v>159</v>
      </c>
      <c r="F880" s="4" t="s">
        <v>2197</v>
      </c>
      <c r="G880" s="19" t="str">
        <f>HYPERLINK("https://www.youtube.com/watch?v=S3XjlA106_Q","Youtube (News)")</f>
        <v>Youtube (News)</v>
      </c>
      <c r="H880" s="6" t="s">
        <v>3</v>
      </c>
      <c r="I880" s="5" t="s">
        <v>305</v>
      </c>
      <c r="J880" s="5" t="s">
        <v>1700</v>
      </c>
      <c r="K880" s="5" t="s">
        <v>1874</v>
      </c>
    </row>
    <row r="881" spans="2:11" ht="15.75" hidden="1" customHeight="1" x14ac:dyDescent="0.2">
      <c r="B881" s="4" t="s">
        <v>1435</v>
      </c>
      <c r="C881" s="4" t="s">
        <v>1787</v>
      </c>
      <c r="D881" s="4" t="s">
        <v>77</v>
      </c>
      <c r="E881" s="5" t="s">
        <v>5</v>
      </c>
      <c r="F881" s="4" t="s">
        <v>2196</v>
      </c>
      <c r="G881" s="19" t="str">
        <f>HYPERLINK("https://www.hindustantimes.com/india-news/30-held-in-tamil-nadu-after-jallikattu-supporters-continue-to-defy-sc-ban-during-pongal/story-BuHwgU8OqTT2DoiDdmyXIO.html","News")</f>
        <v>News</v>
      </c>
      <c r="H881" s="6" t="s">
        <v>3</v>
      </c>
      <c r="I881" s="5" t="s">
        <v>305</v>
      </c>
      <c r="J881" s="5" t="s">
        <v>1700</v>
      </c>
      <c r="K881" s="5" t="s">
        <v>34</v>
      </c>
    </row>
    <row r="882" spans="2:11" ht="15.75" hidden="1" customHeight="1" x14ac:dyDescent="0.2">
      <c r="B882" s="4" t="s">
        <v>1435</v>
      </c>
      <c r="C882" s="4" t="s">
        <v>2195</v>
      </c>
      <c r="D882" s="4" t="s">
        <v>77</v>
      </c>
      <c r="E882" s="5" t="s">
        <v>23</v>
      </c>
      <c r="F882" s="4" t="s">
        <v>2194</v>
      </c>
      <c r="G882" s="19" t="str">
        <f>HYPERLINK("https://www.hindustantimes.com/india-news/30-held-in-tamil-nadu-after-jallikattu-supporters-continue-to-defy-sc-ban-during-pongal/story-BuHwgU8OqTT2DoiDdmyXIO.html","News")</f>
        <v>News</v>
      </c>
      <c r="H882" s="6" t="s">
        <v>3</v>
      </c>
      <c r="I882" s="5" t="s">
        <v>305</v>
      </c>
      <c r="J882" s="5" t="s">
        <v>1700</v>
      </c>
      <c r="K882" s="5" t="s">
        <v>34</v>
      </c>
    </row>
    <row r="883" spans="2:11" ht="15.75" hidden="1" customHeight="1" x14ac:dyDescent="0.2">
      <c r="B883" s="4" t="s">
        <v>1435</v>
      </c>
      <c r="C883" s="4" t="s">
        <v>1566</v>
      </c>
      <c r="D883" s="4" t="s">
        <v>267</v>
      </c>
      <c r="E883" s="4" t="s">
        <v>17</v>
      </c>
      <c r="F883" s="4" t="s">
        <v>2193</v>
      </c>
      <c r="G883" s="19" t="str">
        <f>HYPERLINK("https://www.newindianexpress.com/states/andhra-pradesh/2017/jan/19/bulls-flex-muscles-in-six-day-competition-in-guntur-1561174.html","News")</f>
        <v>News</v>
      </c>
      <c r="H883" s="6" t="s">
        <v>3</v>
      </c>
      <c r="I883" s="5" t="s">
        <v>305</v>
      </c>
      <c r="J883" s="5" t="s">
        <v>1700</v>
      </c>
      <c r="K883" s="5" t="s">
        <v>34</v>
      </c>
    </row>
    <row r="884" spans="2:11" ht="15.75" hidden="1" customHeight="1" x14ac:dyDescent="0.2">
      <c r="B884" s="4" t="s">
        <v>1435</v>
      </c>
      <c r="C884" s="4" t="s">
        <v>382</v>
      </c>
      <c r="D884" s="4" t="s">
        <v>77</v>
      </c>
      <c r="E884" s="5" t="s">
        <v>159</v>
      </c>
      <c r="F884" s="4" t="s">
        <v>2192</v>
      </c>
      <c r="G884" s="19" t="str">
        <f>HYPERLINK("https://indianexpress.com/article/india/tamil-nadu-jallikattu-held-in-pudukottai-claims-two-lives-4486374/","News")</f>
        <v>News</v>
      </c>
      <c r="H884" s="6" t="s">
        <v>3</v>
      </c>
      <c r="I884" s="5" t="s">
        <v>305</v>
      </c>
      <c r="J884" s="5" t="s">
        <v>1700</v>
      </c>
      <c r="K884" s="5" t="s">
        <v>34</v>
      </c>
    </row>
    <row r="885" spans="2:11" ht="15.75" hidden="1" customHeight="1" x14ac:dyDescent="0.2">
      <c r="B885" s="4" t="s">
        <v>1435</v>
      </c>
      <c r="C885" s="4" t="s">
        <v>2191</v>
      </c>
      <c r="D885" s="4" t="s">
        <v>77</v>
      </c>
      <c r="E885" s="5" t="s">
        <v>5</v>
      </c>
      <c r="F885" s="4" t="s">
        <v>2190</v>
      </c>
      <c r="G885" s="19" t="str">
        <f>HYPERLINK("https://indianexpress.com/article/india/tamil-nadu-jallikattu-held-in-pudukottai-claims-two-lives-4486374/","News")</f>
        <v>News</v>
      </c>
      <c r="H885" s="6" t="s">
        <v>3</v>
      </c>
      <c r="I885" s="5" t="s">
        <v>305</v>
      </c>
      <c r="J885" s="5" t="s">
        <v>1700</v>
      </c>
      <c r="K885" s="5" t="s">
        <v>34</v>
      </c>
    </row>
    <row r="886" spans="2:11" ht="15.75" hidden="1" customHeight="1" x14ac:dyDescent="0.2">
      <c r="B886" s="4" t="s">
        <v>1435</v>
      </c>
      <c r="C886" s="4" t="s">
        <v>2189</v>
      </c>
      <c r="D886" s="4" t="s">
        <v>77</v>
      </c>
      <c r="E886" s="5" t="s">
        <v>159</v>
      </c>
      <c r="F886" s="4" t="s">
        <v>2188</v>
      </c>
      <c r="G886" s="19" t="str">
        <f>HYPERLINK("https://www.hindustantimes.com/india-news/jallikattu-takes-place-in-many-parts-of-tamil-nadu-amid-protests-for-permanent-solution/story-lVPj0gXvgEQYYpacLBTn7O.html","News")</f>
        <v>News</v>
      </c>
      <c r="H886" s="6" t="s">
        <v>3</v>
      </c>
      <c r="I886" s="5" t="s">
        <v>305</v>
      </c>
      <c r="J886" s="5" t="s">
        <v>1700</v>
      </c>
      <c r="K886" s="5" t="s">
        <v>34</v>
      </c>
    </row>
    <row r="887" spans="2:11" ht="15.75" hidden="1" customHeight="1" x14ac:dyDescent="0.2">
      <c r="B887" s="4" t="s">
        <v>1435</v>
      </c>
      <c r="C887" s="4" t="s">
        <v>2187</v>
      </c>
      <c r="D887" s="4" t="s">
        <v>77</v>
      </c>
      <c r="E887" s="5" t="s">
        <v>159</v>
      </c>
      <c r="F887" s="4" t="s">
        <v>2186</v>
      </c>
      <c r="G887" s="19" t="str">
        <f>HYPERLINK("https://www.hindustantimes.com/india-news/jallikattu-takes-place-in-many-parts-of-tamil-nadu-amid-protests-for-permanent-solution/story-lVPj0gXvgEQYYpacLBTn7O.html","News")</f>
        <v>News</v>
      </c>
      <c r="H887" s="6" t="s">
        <v>3</v>
      </c>
      <c r="I887" s="5" t="s">
        <v>305</v>
      </c>
      <c r="J887" s="5" t="s">
        <v>1700</v>
      </c>
      <c r="K887" s="5" t="s">
        <v>34</v>
      </c>
    </row>
    <row r="888" spans="2:11" ht="15.75" hidden="1" customHeight="1" x14ac:dyDescent="0.2">
      <c r="B888" s="4" t="s">
        <v>1435</v>
      </c>
      <c r="C888" s="4" t="s">
        <v>2185</v>
      </c>
      <c r="D888" s="4" t="s">
        <v>77</v>
      </c>
      <c r="E888" s="5" t="s">
        <v>159</v>
      </c>
      <c r="F888" s="4" t="s">
        <v>2184</v>
      </c>
      <c r="G888" s="19" t="str">
        <f>HYPERLINK("https://www.hindustantimes.com/india-news/jallikattu-one-succumbs-to-injuries-toll-rises-to-3-in-madurai/story-0xgDOzqj6jNl0lpuZ5yjtJ.html","News")</f>
        <v>News</v>
      </c>
      <c r="H888" s="6" t="s">
        <v>3</v>
      </c>
      <c r="I888" s="5" t="s">
        <v>305</v>
      </c>
      <c r="J888" s="5" t="s">
        <v>1700</v>
      </c>
      <c r="K888" s="5" t="s">
        <v>34</v>
      </c>
    </row>
    <row r="889" spans="2:11" ht="15.75" hidden="1" customHeight="1" x14ac:dyDescent="0.2">
      <c r="B889" s="4" t="s">
        <v>1435</v>
      </c>
      <c r="C889" s="4" t="s">
        <v>511</v>
      </c>
      <c r="D889" s="4" t="s">
        <v>97</v>
      </c>
      <c r="E889" s="5" t="s">
        <v>159</v>
      </c>
      <c r="F889" s="4" t="s">
        <v>2183</v>
      </c>
      <c r="G889" s="19" t="str">
        <f>HYPERLINK("https://www.ommcomnews.com/odisha-news/puri-beach-carnival-tourists-complain-animal-cruelty-at-camel-race","News")</f>
        <v>News</v>
      </c>
      <c r="H889" s="6" t="s">
        <v>3</v>
      </c>
      <c r="I889" s="5" t="s">
        <v>305</v>
      </c>
      <c r="J889" s="5" t="s">
        <v>1700</v>
      </c>
      <c r="K889" s="5" t="s">
        <v>840</v>
      </c>
    </row>
    <row r="890" spans="2:11" ht="15.75" hidden="1" customHeight="1" x14ac:dyDescent="0.2">
      <c r="B890" s="4" t="s">
        <v>1435</v>
      </c>
      <c r="C890" s="4" t="s">
        <v>726</v>
      </c>
      <c r="D890" s="4" t="s">
        <v>42</v>
      </c>
      <c r="E890" s="5" t="s">
        <v>55</v>
      </c>
      <c r="F890" s="4" t="s">
        <v>2182</v>
      </c>
      <c r="G890" s="19" t="str">
        <f>HYPERLINK("https://indianexpress.com/article/india/up-fir-against-man-who-came-to-file-nomination-papers-on-a-donkey-4490130/","News")</f>
        <v>News</v>
      </c>
      <c r="H890" s="6" t="s">
        <v>3</v>
      </c>
      <c r="I890" s="5" t="s">
        <v>305</v>
      </c>
      <c r="J890" s="5" t="s">
        <v>1480</v>
      </c>
      <c r="K890" s="5" t="s">
        <v>639</v>
      </c>
    </row>
    <row r="891" spans="2:11" ht="15.75" hidden="1" customHeight="1" x14ac:dyDescent="0.2">
      <c r="B891" s="4" t="s">
        <v>1435</v>
      </c>
      <c r="C891" s="4" t="s">
        <v>2181</v>
      </c>
      <c r="D891" s="4" t="s">
        <v>47</v>
      </c>
      <c r="E891" s="5" t="s">
        <v>159</v>
      </c>
      <c r="F891" s="4" t="s">
        <v>2180</v>
      </c>
      <c r="G891" s="19" t="str">
        <f>HYPERLINK("https://www.indiatoday.in/india/story/moh-juj-traditional-buffalo-fight-of-assam-bhogali-bihu-957196-2017-01-26","News")</f>
        <v>News</v>
      </c>
      <c r="H891" s="6" t="s">
        <v>3</v>
      </c>
      <c r="I891" s="5" t="s">
        <v>305</v>
      </c>
      <c r="J891" s="5" t="s">
        <v>1700</v>
      </c>
      <c r="K891" s="5" t="s">
        <v>34</v>
      </c>
    </row>
    <row r="892" spans="2:11" ht="15.75" hidden="1" customHeight="1" x14ac:dyDescent="0.2">
      <c r="B892" s="4" t="s">
        <v>1435</v>
      </c>
      <c r="C892" s="4" t="s">
        <v>111</v>
      </c>
      <c r="D892" s="4" t="s">
        <v>24</v>
      </c>
      <c r="E892" s="5" t="s">
        <v>159</v>
      </c>
      <c r="F892" s="4" t="s">
        <v>2179</v>
      </c>
      <c r="G892" s="19" t="s">
        <v>447</v>
      </c>
      <c r="H892" s="6" t="s">
        <v>272</v>
      </c>
      <c r="I892" s="5" t="s">
        <v>305</v>
      </c>
      <c r="J892" s="5" t="s">
        <v>1485</v>
      </c>
      <c r="K892" s="5" t="s">
        <v>1430</v>
      </c>
    </row>
    <row r="893" spans="2:11" ht="15.75" hidden="1" customHeight="1" x14ac:dyDescent="0.2">
      <c r="B893" s="4" t="s">
        <v>1435</v>
      </c>
      <c r="C893" s="4" t="s">
        <v>2178</v>
      </c>
      <c r="D893" s="4" t="s">
        <v>24</v>
      </c>
      <c r="E893" s="4" t="s">
        <v>17</v>
      </c>
      <c r="F893" s="4" t="s">
        <v>2177</v>
      </c>
      <c r="G893" s="19" t="str">
        <f>HYPERLINK("https://www.newindianexpress.com/states/telangana/2017/jan/30/thirty-years-since-bullock-cart-race-revived-at-nagoba-jatara-1564925.html","News")</f>
        <v>News</v>
      </c>
      <c r="H893" s="6" t="s">
        <v>3</v>
      </c>
      <c r="I893" s="5" t="s">
        <v>305</v>
      </c>
      <c r="J893" s="5" t="s">
        <v>1700</v>
      </c>
      <c r="K893" s="5" t="s">
        <v>34</v>
      </c>
    </row>
    <row r="894" spans="2:11" ht="15.75" hidden="1" customHeight="1" x14ac:dyDescent="0.2">
      <c r="B894" s="4" t="s">
        <v>1435</v>
      </c>
      <c r="C894" s="4" t="s">
        <v>2176</v>
      </c>
      <c r="D894" s="4" t="s">
        <v>36</v>
      </c>
      <c r="E894" s="5" t="s">
        <v>5</v>
      </c>
      <c r="F894" s="4" t="s">
        <v>2175</v>
      </c>
      <c r="G894" s="19" t="s">
        <v>3</v>
      </c>
      <c r="H894" s="6" t="s">
        <v>3</v>
      </c>
      <c r="I894" s="5" t="s">
        <v>305</v>
      </c>
      <c r="J894" s="5" t="s">
        <v>15</v>
      </c>
      <c r="K894" s="5" t="s">
        <v>2172</v>
      </c>
    </row>
    <row r="895" spans="2:11" ht="15.75" hidden="1" customHeight="1" x14ac:dyDescent="0.2">
      <c r="B895" s="4" t="s">
        <v>1435</v>
      </c>
      <c r="C895" s="4" t="s">
        <v>2174</v>
      </c>
      <c r="D895" s="4" t="s">
        <v>36</v>
      </c>
      <c r="E895" s="5" t="s">
        <v>5</v>
      </c>
      <c r="F895" s="4" t="s">
        <v>2173</v>
      </c>
      <c r="G895" s="19" t="s">
        <v>3</v>
      </c>
      <c r="H895" s="6" t="s">
        <v>3</v>
      </c>
      <c r="I895" s="5" t="s">
        <v>305</v>
      </c>
      <c r="J895" s="5" t="s">
        <v>15</v>
      </c>
      <c r="K895" s="5" t="s">
        <v>2172</v>
      </c>
    </row>
    <row r="896" spans="2:11" ht="15.75" hidden="1" customHeight="1" x14ac:dyDescent="0.2">
      <c r="B896" s="4" t="s">
        <v>1435</v>
      </c>
      <c r="C896" s="4" t="s">
        <v>2171</v>
      </c>
      <c r="D896" s="4" t="s">
        <v>36</v>
      </c>
      <c r="E896" s="5" t="s">
        <v>159</v>
      </c>
      <c r="F896" s="4" t="s">
        <v>2170</v>
      </c>
      <c r="G896" s="19" t="str">
        <f>HYPERLINK("https://www.youtube.com/watch?v=4pZfBEQZhVc","Youtube (News)")</f>
        <v>Youtube (News)</v>
      </c>
      <c r="H896" s="6" t="s">
        <v>3</v>
      </c>
      <c r="I896" s="5" t="s">
        <v>305</v>
      </c>
      <c r="J896" s="5" t="s">
        <v>1700</v>
      </c>
      <c r="K896" s="5" t="s">
        <v>1874</v>
      </c>
    </row>
    <row r="897" spans="2:11" ht="15.75" hidden="1" customHeight="1" x14ac:dyDescent="0.2">
      <c r="B897" s="4" t="s">
        <v>1435</v>
      </c>
      <c r="C897" s="4" t="s">
        <v>2169</v>
      </c>
      <c r="D897" s="4" t="s">
        <v>71</v>
      </c>
      <c r="E897" s="5" t="s">
        <v>159</v>
      </c>
      <c r="F897" s="4" t="s">
        <v>2168</v>
      </c>
      <c r="G897" s="19" t="str">
        <f>HYPERLINK("https://www.indiatoday.in/mail-today/story/cow-vigilante-no-protector-for-bulls-ncr-villagers-pour-acid-on-cattle-to-save-crops-974653-2017-05-02","News")</f>
        <v>News</v>
      </c>
      <c r="H897" s="6" t="s">
        <v>3</v>
      </c>
      <c r="I897" s="5" t="s">
        <v>305</v>
      </c>
      <c r="J897" s="5" t="s">
        <v>15</v>
      </c>
      <c r="K897" s="5" t="s">
        <v>57</v>
      </c>
    </row>
    <row r="898" spans="2:11" ht="15.75" hidden="1" customHeight="1" x14ac:dyDescent="0.2">
      <c r="B898" s="4" t="s">
        <v>1435</v>
      </c>
      <c r="C898" s="4" t="s">
        <v>449</v>
      </c>
      <c r="D898" s="4" t="s">
        <v>24</v>
      </c>
      <c r="E898" s="5" t="s">
        <v>159</v>
      </c>
      <c r="F898" s="4" t="s">
        <v>2167</v>
      </c>
      <c r="G898" s="19" t="s">
        <v>447</v>
      </c>
      <c r="H898" s="6" t="s">
        <v>272</v>
      </c>
      <c r="I898" s="5" t="s">
        <v>305</v>
      </c>
      <c r="J898" s="5" t="s">
        <v>1485</v>
      </c>
      <c r="K898" s="5" t="s">
        <v>57</v>
      </c>
    </row>
    <row r="899" spans="2:11" ht="15.75" hidden="1" customHeight="1" x14ac:dyDescent="0.2">
      <c r="B899" s="4" t="s">
        <v>1435</v>
      </c>
      <c r="C899" s="6"/>
      <c r="D899" s="4" t="s">
        <v>71</v>
      </c>
      <c r="E899" s="5" t="s">
        <v>159</v>
      </c>
      <c r="F899" s="4" t="s">
        <v>2166</v>
      </c>
      <c r="G899" s="19" t="str">
        <f>HYPERLINK("https://www.youtube.com/watch?v=kX0kAtUrJFY","Youtube")</f>
        <v>Youtube</v>
      </c>
      <c r="H899" s="6" t="s">
        <v>3</v>
      </c>
      <c r="I899" s="5" t="s">
        <v>305</v>
      </c>
      <c r="J899" s="5" t="s">
        <v>1492</v>
      </c>
      <c r="K899" s="5" t="s">
        <v>19</v>
      </c>
    </row>
    <row r="900" spans="2:11" ht="15.75" hidden="1" customHeight="1" x14ac:dyDescent="0.2">
      <c r="B900" s="4" t="s">
        <v>1435</v>
      </c>
      <c r="C900" s="4" t="s">
        <v>566</v>
      </c>
      <c r="D900" s="6" t="s">
        <v>42</v>
      </c>
      <c r="E900" s="5" t="s">
        <v>5</v>
      </c>
      <c r="F900" s="4" t="s">
        <v>2165</v>
      </c>
      <c r="G900" s="19" t="str">
        <f>HYPERLINK("https://www.youtube.com/watch?v=R1UtwlzBYyA","Youtube")</f>
        <v>Youtube</v>
      </c>
      <c r="H900" s="6" t="s">
        <v>3</v>
      </c>
      <c r="I900" s="5" t="s">
        <v>305</v>
      </c>
      <c r="J900" s="5" t="s">
        <v>1439</v>
      </c>
      <c r="K900" s="5" t="s">
        <v>955</v>
      </c>
    </row>
    <row r="901" spans="2:11" ht="15.75" hidden="1" customHeight="1" x14ac:dyDescent="0.2">
      <c r="B901" s="4" t="s">
        <v>1435</v>
      </c>
      <c r="C901" s="4" t="s">
        <v>2164</v>
      </c>
      <c r="D901" s="4" t="s">
        <v>36</v>
      </c>
      <c r="E901" s="4" t="s">
        <v>17</v>
      </c>
      <c r="F901" s="4" t="s">
        <v>2163</v>
      </c>
      <c r="G901" s="19" t="str">
        <f>HYPERLINK("https://www.youtube.com/watch?v=N_jwNmLJwHU","Youtube (News)")</f>
        <v>Youtube (News)</v>
      </c>
      <c r="H901" s="6" t="s">
        <v>3</v>
      </c>
      <c r="I901" s="5" t="s">
        <v>305</v>
      </c>
      <c r="J901" s="5" t="s">
        <v>1700</v>
      </c>
      <c r="K901" s="5" t="s">
        <v>1874</v>
      </c>
    </row>
    <row r="902" spans="2:11" ht="15.75" hidden="1" customHeight="1" x14ac:dyDescent="0.2">
      <c r="B902" s="4" t="s">
        <v>1435</v>
      </c>
      <c r="C902" s="4" t="s">
        <v>2162</v>
      </c>
      <c r="D902" s="4" t="s">
        <v>236</v>
      </c>
      <c r="E902" s="5" t="s">
        <v>159</v>
      </c>
      <c r="F902" s="4" t="s">
        <v>2161</v>
      </c>
      <c r="G902" s="19" t="str">
        <f>HYPERLINK("https://www.facebook.com/pfavasco/posts/1387911464593396","Facebook")</f>
        <v>Facebook</v>
      </c>
      <c r="H902" s="6" t="s">
        <v>11</v>
      </c>
      <c r="I902" s="5" t="s">
        <v>305</v>
      </c>
      <c r="J902" s="5" t="s">
        <v>1485</v>
      </c>
      <c r="K902" s="5" t="s">
        <v>34</v>
      </c>
    </row>
    <row r="903" spans="2:11" ht="15.75" hidden="1" customHeight="1" x14ac:dyDescent="0.2">
      <c r="B903" s="4" t="s">
        <v>1435</v>
      </c>
      <c r="C903" s="4" t="s">
        <v>228</v>
      </c>
      <c r="D903" s="4" t="s">
        <v>36</v>
      </c>
      <c r="E903" s="5" t="s">
        <v>159</v>
      </c>
      <c r="F903" s="4" t="s">
        <v>2160</v>
      </c>
      <c r="G903" s="19" t="s">
        <v>944</v>
      </c>
      <c r="H903" s="6" t="s">
        <v>272</v>
      </c>
      <c r="I903" s="5" t="s">
        <v>305</v>
      </c>
      <c r="J903" s="5" t="s">
        <v>1485</v>
      </c>
      <c r="K903" s="5" t="s">
        <v>34</v>
      </c>
    </row>
    <row r="904" spans="2:11" ht="15.75" hidden="1" customHeight="1" x14ac:dyDescent="0.2">
      <c r="B904" s="4" t="s">
        <v>1435</v>
      </c>
      <c r="C904" s="4" t="s">
        <v>228</v>
      </c>
      <c r="D904" s="4" t="s">
        <v>36</v>
      </c>
      <c r="E904" s="4" t="s">
        <v>17</v>
      </c>
      <c r="F904" s="4" t="s">
        <v>2159</v>
      </c>
      <c r="G904" s="19" t="s">
        <v>944</v>
      </c>
      <c r="H904" s="6" t="s">
        <v>272</v>
      </c>
      <c r="I904" s="5" t="s">
        <v>305</v>
      </c>
      <c r="J904" s="5" t="s">
        <v>1485</v>
      </c>
      <c r="K904" s="5" t="s">
        <v>1430</v>
      </c>
    </row>
    <row r="905" spans="2:11" ht="15.75" hidden="1" customHeight="1" x14ac:dyDescent="0.2">
      <c r="B905" s="4" t="s">
        <v>1435</v>
      </c>
      <c r="C905" s="4"/>
      <c r="D905" s="4"/>
      <c r="E905" s="5" t="s">
        <v>159</v>
      </c>
      <c r="F905" s="4" t="s">
        <v>2158</v>
      </c>
      <c r="G905" s="19" t="s">
        <v>1493</v>
      </c>
      <c r="H905" s="6" t="s">
        <v>3</v>
      </c>
      <c r="I905" s="5" t="s">
        <v>305</v>
      </c>
      <c r="J905" s="5" t="s">
        <v>1492</v>
      </c>
      <c r="K905" s="5" t="s">
        <v>1430</v>
      </c>
    </row>
    <row r="906" spans="2:11" ht="15.75" hidden="1" customHeight="1" x14ac:dyDescent="0.2">
      <c r="B906" s="4" t="s">
        <v>1435</v>
      </c>
      <c r="C906" s="4" t="s">
        <v>2157</v>
      </c>
      <c r="D906" s="4" t="s">
        <v>18</v>
      </c>
      <c r="E906" s="5" t="s">
        <v>23</v>
      </c>
      <c r="F906" s="4" t="s">
        <v>2156</v>
      </c>
      <c r="G906" s="19" t="str">
        <f>HYPERLINK("https://www.facebook.com/meetashar02/posts/1813340805343076","Facebook")</f>
        <v>Facebook</v>
      </c>
      <c r="H906" s="6" t="s">
        <v>11</v>
      </c>
      <c r="I906" s="5" t="s">
        <v>305</v>
      </c>
      <c r="J906" s="5" t="s">
        <v>2059</v>
      </c>
      <c r="K906" s="5" t="s">
        <v>1430</v>
      </c>
    </row>
    <row r="907" spans="2:11" ht="15.75" hidden="1" customHeight="1" x14ac:dyDescent="0.2">
      <c r="B907" s="4" t="s">
        <v>1435</v>
      </c>
      <c r="C907" s="4" t="s">
        <v>1193</v>
      </c>
      <c r="D907" s="4" t="s">
        <v>42</v>
      </c>
      <c r="E907" s="5" t="s">
        <v>159</v>
      </c>
      <c r="F907" s="4" t="s">
        <v>2155</v>
      </c>
      <c r="G907" s="19" t="str">
        <f>HYPERLINK("https://www.facebook.com/richa.saxena.12327/videos/1506294222785174/?query=horse&amp;epa=SEARCH_BOX","Facebook")</f>
        <v>Facebook</v>
      </c>
      <c r="H907" s="6" t="s">
        <v>11</v>
      </c>
      <c r="I907" s="5" t="s">
        <v>305</v>
      </c>
      <c r="J907" s="5" t="s">
        <v>1492</v>
      </c>
      <c r="K907" s="5" t="s">
        <v>1430</v>
      </c>
    </row>
    <row r="908" spans="2:11" ht="15.75" hidden="1" customHeight="1" x14ac:dyDescent="0.2">
      <c r="B908" s="4" t="s">
        <v>1435</v>
      </c>
      <c r="C908" s="4" t="s">
        <v>2154</v>
      </c>
      <c r="D908" s="4" t="s">
        <v>24</v>
      </c>
      <c r="E908" s="5" t="s">
        <v>5</v>
      </c>
      <c r="F908" s="4" t="s">
        <v>2153</v>
      </c>
      <c r="G908" s="19" t="str">
        <f>HYPERLINK("https://www.livemint.com/Leisure/93ktKx56Al4QmwR8994XFP/Monkey-business.html","News")</f>
        <v>News</v>
      </c>
      <c r="H908" s="6" t="s">
        <v>3</v>
      </c>
      <c r="I908" s="5" t="s">
        <v>305</v>
      </c>
      <c r="J908" s="5" t="s">
        <v>1439</v>
      </c>
      <c r="K908" s="5" t="s">
        <v>955</v>
      </c>
    </row>
    <row r="909" spans="2:11" ht="15.75" hidden="1" customHeight="1" x14ac:dyDescent="0.2">
      <c r="B909" s="4" t="s">
        <v>1435</v>
      </c>
      <c r="C909" s="6"/>
      <c r="D909" s="4" t="s">
        <v>150</v>
      </c>
      <c r="E909" s="5" t="s">
        <v>5</v>
      </c>
      <c r="F909" s="4" t="s">
        <v>2152</v>
      </c>
      <c r="G909" s="19" t="s">
        <v>3</v>
      </c>
      <c r="H909" s="6" t="s">
        <v>3</v>
      </c>
      <c r="I909" s="5" t="s">
        <v>305</v>
      </c>
      <c r="J909" s="5" t="s">
        <v>1439</v>
      </c>
      <c r="K909" s="5" t="s">
        <v>955</v>
      </c>
    </row>
    <row r="910" spans="2:11" ht="15.75" hidden="1" customHeight="1" x14ac:dyDescent="0.2">
      <c r="B910" s="4" t="s">
        <v>1435</v>
      </c>
      <c r="C910" s="4" t="s">
        <v>684</v>
      </c>
      <c r="D910" s="4" t="s">
        <v>13</v>
      </c>
      <c r="E910" s="5" t="s">
        <v>23</v>
      </c>
      <c r="F910" s="4" t="s">
        <v>2151</v>
      </c>
      <c r="G910" s="19" t="str">
        <f>HYPERLINK("https://www.hindustantimes.com/india-news/bihar-animal-rights-activist-assaulted-while-trying-to-rescue-snake/story-Sv1zC8wAoN6s3qDjYM65PK.html","News")</f>
        <v>News</v>
      </c>
      <c r="H910" s="6" t="s">
        <v>3</v>
      </c>
      <c r="I910" s="5" t="s">
        <v>305</v>
      </c>
      <c r="J910" s="5" t="s">
        <v>1522</v>
      </c>
      <c r="K910" s="5" t="s">
        <v>509</v>
      </c>
    </row>
    <row r="911" spans="2:11" ht="15.75" hidden="1" customHeight="1" x14ac:dyDescent="0.2">
      <c r="B911" s="4" t="s">
        <v>1435</v>
      </c>
      <c r="C911" s="6" t="s">
        <v>95</v>
      </c>
      <c r="D911" s="6" t="s">
        <v>94</v>
      </c>
      <c r="E911" s="18" t="s">
        <v>159</v>
      </c>
      <c r="F911" s="4" t="s">
        <v>2150</v>
      </c>
      <c r="G911" s="19" t="s">
        <v>11</v>
      </c>
      <c r="H911" s="6" t="s">
        <v>11</v>
      </c>
      <c r="I911" s="5" t="s">
        <v>305</v>
      </c>
      <c r="J911" s="5" t="s">
        <v>1485</v>
      </c>
      <c r="K911" s="5" t="s">
        <v>367</v>
      </c>
    </row>
    <row r="912" spans="2:11" ht="15.75" hidden="1" customHeight="1" x14ac:dyDescent="0.2">
      <c r="B912" s="4" t="s">
        <v>1435</v>
      </c>
      <c r="C912" s="6"/>
      <c r="D912" s="6" t="s">
        <v>150</v>
      </c>
      <c r="E912" s="5" t="s">
        <v>159</v>
      </c>
      <c r="F912" s="4" t="s">
        <v>1082</v>
      </c>
      <c r="G912" s="19" t="s">
        <v>3</v>
      </c>
      <c r="H912" s="6" t="s">
        <v>3</v>
      </c>
      <c r="I912" s="5" t="s">
        <v>305</v>
      </c>
      <c r="J912" s="5" t="s">
        <v>1480</v>
      </c>
      <c r="K912" s="5" t="s">
        <v>509</v>
      </c>
    </row>
    <row r="913" spans="2:11" ht="15.75" hidden="1" customHeight="1" x14ac:dyDescent="0.2">
      <c r="B913" s="4" t="s">
        <v>1435</v>
      </c>
      <c r="C913" s="4" t="s">
        <v>1642</v>
      </c>
      <c r="D913" s="4" t="s">
        <v>66</v>
      </c>
      <c r="E913" s="5" t="s">
        <v>159</v>
      </c>
      <c r="F913" s="4" t="s">
        <v>2149</v>
      </c>
      <c r="G913" s="19" t="str">
        <f>HYPERLINK("https://indianexpress.com/article/india/animal-rights-campaigner-alleges-elephant-torture-in-local-temple-fest-4507472/","News")</f>
        <v>News</v>
      </c>
      <c r="H913" s="6" t="s">
        <v>3</v>
      </c>
      <c r="I913" s="5" t="s">
        <v>305</v>
      </c>
      <c r="J913" s="5" t="s">
        <v>1439</v>
      </c>
      <c r="K913" s="5" t="s">
        <v>64</v>
      </c>
    </row>
    <row r="914" spans="2:11" ht="15.75" hidden="1" customHeight="1" x14ac:dyDescent="0.2">
      <c r="B914" s="4" t="s">
        <v>1435</v>
      </c>
      <c r="C914" s="4" t="s">
        <v>1434</v>
      </c>
      <c r="D914" s="4" t="s">
        <v>94</v>
      </c>
      <c r="E914" s="5" t="s">
        <v>23</v>
      </c>
      <c r="F914" s="4" t="s">
        <v>2148</v>
      </c>
      <c r="G914" s="19" t="str">
        <f>HYPERLINK("https://timesofindia.indiatimes.com/videos/news/jodhpur-snake-charmer-arrested-after-man-dies-of-snake-bite/videoshow/58165408.cms","News")</f>
        <v>News</v>
      </c>
      <c r="H914" s="6" t="s">
        <v>3</v>
      </c>
      <c r="I914" s="5" t="s">
        <v>305</v>
      </c>
      <c r="J914" s="5" t="s">
        <v>1686</v>
      </c>
      <c r="K914" s="5" t="s">
        <v>509</v>
      </c>
    </row>
    <row r="915" spans="2:11" ht="15.75" hidden="1" customHeight="1" x14ac:dyDescent="0.2">
      <c r="B915" s="4" t="s">
        <v>1435</v>
      </c>
      <c r="C915" s="4"/>
      <c r="D915" s="4"/>
      <c r="E915" s="5" t="s">
        <v>159</v>
      </c>
      <c r="F915" s="4" t="s">
        <v>2147</v>
      </c>
      <c r="G915" s="19" t="s">
        <v>1493</v>
      </c>
      <c r="H915" s="6" t="s">
        <v>3</v>
      </c>
      <c r="I915" s="5" t="s">
        <v>305</v>
      </c>
      <c r="J915" s="5" t="s">
        <v>1686</v>
      </c>
      <c r="K915" s="5" t="s">
        <v>1430</v>
      </c>
    </row>
    <row r="916" spans="2:11" ht="15.75" hidden="1" customHeight="1" x14ac:dyDescent="0.2">
      <c r="B916" s="4" t="s">
        <v>1435</v>
      </c>
      <c r="C916" s="4" t="s">
        <v>181</v>
      </c>
      <c r="D916" s="4" t="s">
        <v>42</v>
      </c>
      <c r="E916" s="5" t="s">
        <v>159</v>
      </c>
      <c r="F916" s="4" t="s">
        <v>2146</v>
      </c>
      <c r="G916" s="19" t="str">
        <f>HYPERLINK("https://www.facebook.com/groups/thepound/permalink/1776476649029493/","Facebook")</f>
        <v>Facebook</v>
      </c>
      <c r="H916" s="6" t="s">
        <v>11</v>
      </c>
      <c r="I916" s="5" t="s">
        <v>305</v>
      </c>
      <c r="J916" s="5" t="s">
        <v>1485</v>
      </c>
      <c r="K916" s="5" t="s">
        <v>1430</v>
      </c>
    </row>
    <row r="917" spans="2:11" ht="15.75" hidden="1" customHeight="1" x14ac:dyDescent="0.2">
      <c r="B917" s="4" t="s">
        <v>1435</v>
      </c>
      <c r="C917" s="4" t="s">
        <v>358</v>
      </c>
      <c r="D917" s="4" t="s">
        <v>42</v>
      </c>
      <c r="E917" s="5" t="s">
        <v>159</v>
      </c>
      <c r="F917" s="4" t="s">
        <v>2145</v>
      </c>
      <c r="G917" s="19" t="str">
        <f>HYPERLINK("https://timesofindia.indiatimes.com/city/noida/noida-residents-hire-langur-to-scare-away-monkeys/articleshow/59448624.cms","News")</f>
        <v>News</v>
      </c>
      <c r="H917" s="6" t="s">
        <v>3</v>
      </c>
      <c r="I917" s="5" t="s">
        <v>305</v>
      </c>
      <c r="J917" s="5" t="s">
        <v>1439</v>
      </c>
      <c r="K917" s="5" t="s">
        <v>955</v>
      </c>
    </row>
    <row r="918" spans="2:11" ht="15.75" hidden="1" customHeight="1" x14ac:dyDescent="0.2">
      <c r="B918" s="4" t="s">
        <v>1435</v>
      </c>
      <c r="C918" s="4" t="s">
        <v>2144</v>
      </c>
      <c r="D918" s="4" t="s">
        <v>36</v>
      </c>
      <c r="E918" s="5" t="s">
        <v>5</v>
      </c>
      <c r="F918" s="4" t="s">
        <v>2143</v>
      </c>
      <c r="G918" s="19" t="s">
        <v>3</v>
      </c>
      <c r="H918" s="6" t="s">
        <v>3</v>
      </c>
      <c r="I918" s="5" t="s">
        <v>305</v>
      </c>
      <c r="J918" s="5" t="s">
        <v>1700</v>
      </c>
      <c r="K918" s="5" t="s">
        <v>367</v>
      </c>
    </row>
    <row r="919" spans="2:11" ht="15.75" hidden="1" customHeight="1" x14ac:dyDescent="0.2">
      <c r="B919" s="4" t="s">
        <v>1435</v>
      </c>
      <c r="C919" s="6" t="s">
        <v>676</v>
      </c>
      <c r="D919" s="6" t="s">
        <v>28</v>
      </c>
      <c r="E919" s="5" t="s">
        <v>159</v>
      </c>
      <c r="F919" s="4" t="s">
        <v>2142</v>
      </c>
      <c r="G919" s="19" t="str">
        <f>HYPERLINK("https://m.facebook.com/story.php?story_fbid=10156645078356807&amp;id=593321806","Facebook")</f>
        <v>Facebook</v>
      </c>
      <c r="H919" s="6" t="s">
        <v>11</v>
      </c>
      <c r="I919" s="5" t="s">
        <v>109</v>
      </c>
      <c r="J919" s="5" t="s">
        <v>1485</v>
      </c>
      <c r="K919" s="5" t="s">
        <v>108</v>
      </c>
    </row>
    <row r="920" spans="2:11" ht="15.75" hidden="1" customHeight="1" x14ac:dyDescent="0.2">
      <c r="B920" s="4" t="s">
        <v>1435</v>
      </c>
      <c r="C920" s="6" t="s">
        <v>137</v>
      </c>
      <c r="D920" s="6" t="s">
        <v>71</v>
      </c>
      <c r="E920" s="5" t="s">
        <v>23</v>
      </c>
      <c r="F920" s="4" t="s">
        <v>2141</v>
      </c>
      <c r="G920" s="19" t="s">
        <v>3</v>
      </c>
      <c r="H920" s="6" t="s">
        <v>3</v>
      </c>
      <c r="I920" s="5" t="s">
        <v>305</v>
      </c>
      <c r="J920" s="5" t="s">
        <v>1439</v>
      </c>
      <c r="K920" s="5" t="s">
        <v>955</v>
      </c>
    </row>
    <row r="921" spans="2:11" ht="15.75" hidden="1" customHeight="1" x14ac:dyDescent="0.2">
      <c r="B921" s="4" t="s">
        <v>1435</v>
      </c>
      <c r="C921" s="4" t="s">
        <v>104</v>
      </c>
      <c r="D921" s="4" t="s">
        <v>18</v>
      </c>
      <c r="E921" s="5" t="s">
        <v>159</v>
      </c>
      <c r="F921" s="4" t="s">
        <v>2140</v>
      </c>
      <c r="G921" s="19" t="str">
        <f>HYPERLINK("https://indianexpress.com/article/india/mumbai-mla-rides-bullock-cart-presses-for-lifting-ban-on-rural-sport-4557108/","News")</f>
        <v>News</v>
      </c>
      <c r="H921" s="6" t="s">
        <v>3</v>
      </c>
      <c r="I921" s="5" t="s">
        <v>305</v>
      </c>
      <c r="J921" s="5" t="s">
        <v>1480</v>
      </c>
      <c r="K921" s="5" t="s">
        <v>34</v>
      </c>
    </row>
    <row r="922" spans="2:11" ht="15.75" hidden="1" customHeight="1" x14ac:dyDescent="0.2">
      <c r="B922" s="4" t="s">
        <v>1435</v>
      </c>
      <c r="C922" s="4" t="s">
        <v>48</v>
      </c>
      <c r="D922" s="4" t="s">
        <v>47</v>
      </c>
      <c r="E922" s="5" t="s">
        <v>5</v>
      </c>
      <c r="F922" s="4" t="s">
        <v>2139</v>
      </c>
      <c r="G922" s="19" t="str">
        <f>HYPERLINK("https://www.telegraphindia.com/states/north-east/outrage-over-jumbo-ordeal/cid/1433765","News")</f>
        <v>News</v>
      </c>
      <c r="H922" s="6" t="s">
        <v>3</v>
      </c>
      <c r="I922" s="5" t="s">
        <v>305</v>
      </c>
      <c r="J922" s="5" t="s">
        <v>1439</v>
      </c>
      <c r="K922" s="5" t="s">
        <v>64</v>
      </c>
    </row>
    <row r="923" spans="2:11" ht="15.75" hidden="1" customHeight="1" x14ac:dyDescent="0.2">
      <c r="B923" s="4" t="s">
        <v>1435</v>
      </c>
      <c r="C923" s="6"/>
      <c r="D923" s="4" t="s">
        <v>154</v>
      </c>
      <c r="E923" s="5" t="s">
        <v>5</v>
      </c>
      <c r="F923" s="4" t="s">
        <v>2138</v>
      </c>
      <c r="G923" s="19" t="str">
        <f>HYPERLINK("https://indianexpress.com/article/entertainment/bollywood/diljit-dosanjh-music-video-slammed-for-promoting-cruelty-to-dogs-public-apology-demanded-4704973/","News")</f>
        <v>News</v>
      </c>
      <c r="H923" s="6" t="s">
        <v>3</v>
      </c>
      <c r="I923" s="5" t="s">
        <v>305</v>
      </c>
      <c r="J923" s="5" t="s">
        <v>1436</v>
      </c>
      <c r="K923" s="5" t="s">
        <v>0</v>
      </c>
    </row>
    <row r="924" spans="2:11" ht="15.75" hidden="1" customHeight="1" x14ac:dyDescent="0.2">
      <c r="B924" s="4" t="s">
        <v>1435</v>
      </c>
      <c r="C924" s="4" t="s">
        <v>2137</v>
      </c>
      <c r="D924" s="4" t="s">
        <v>18</v>
      </c>
      <c r="E924" s="5" t="s">
        <v>5</v>
      </c>
      <c r="F924" s="4" t="s">
        <v>2136</v>
      </c>
      <c r="G924" s="19" t="s">
        <v>3</v>
      </c>
      <c r="H924" s="6" t="s">
        <v>3</v>
      </c>
      <c r="I924" s="5" t="s">
        <v>305</v>
      </c>
      <c r="J924" s="5" t="s">
        <v>1439</v>
      </c>
      <c r="K924" s="5" t="s">
        <v>64</v>
      </c>
    </row>
    <row r="925" spans="2:11" ht="15.75" hidden="1" customHeight="1" x14ac:dyDescent="0.2">
      <c r="B925" s="4" t="s">
        <v>1435</v>
      </c>
      <c r="C925" s="6"/>
      <c r="D925" s="4" t="s">
        <v>150</v>
      </c>
      <c r="E925" s="5" t="s">
        <v>5</v>
      </c>
      <c r="F925" s="4" t="s">
        <v>2135</v>
      </c>
      <c r="G925" s="19" t="str">
        <f>HYPERLINK("https://www.facebook.com/groups/thepound/permalink/1754933121183846/","Facebook")</f>
        <v>Facebook</v>
      </c>
      <c r="H925" s="6" t="s">
        <v>11</v>
      </c>
      <c r="I925" s="5" t="s">
        <v>305</v>
      </c>
      <c r="J925" s="5" t="s">
        <v>1436</v>
      </c>
      <c r="K925" s="5" t="s">
        <v>19</v>
      </c>
    </row>
    <row r="926" spans="2:11" ht="15.75" hidden="1" customHeight="1" x14ac:dyDescent="0.2">
      <c r="B926" s="4" t="s">
        <v>1435</v>
      </c>
      <c r="C926" s="6"/>
      <c r="D926" s="6"/>
      <c r="E926" s="5" t="s">
        <v>5</v>
      </c>
      <c r="F926" s="4" t="s">
        <v>2134</v>
      </c>
      <c r="G926" s="19" t="s">
        <v>3</v>
      </c>
      <c r="H926" s="6" t="s">
        <v>3</v>
      </c>
      <c r="I926" s="5" t="s">
        <v>305</v>
      </c>
      <c r="J926" s="5" t="s">
        <v>1915</v>
      </c>
      <c r="K926" s="5" t="s">
        <v>514</v>
      </c>
    </row>
    <row r="927" spans="2:11" ht="15.75" hidden="1" customHeight="1" x14ac:dyDescent="0.2">
      <c r="B927" s="4" t="s">
        <v>1435</v>
      </c>
      <c r="C927" s="4" t="s">
        <v>271</v>
      </c>
      <c r="D927" s="4" t="s">
        <v>94</v>
      </c>
      <c r="E927" s="5" t="s">
        <v>159</v>
      </c>
      <c r="F927" s="4" t="s">
        <v>2133</v>
      </c>
      <c r="G927" s="19" t="str">
        <f>HYPERLINK("https://www.petaindia.com/blog/shocked-tourists-contact-peta-witnessing-elephant-abuse-jaipur/","PETA India")</f>
        <v>PETA India</v>
      </c>
      <c r="H927" s="6" t="s">
        <v>272</v>
      </c>
      <c r="I927" s="5" t="s">
        <v>305</v>
      </c>
      <c r="J927" s="5" t="s">
        <v>1439</v>
      </c>
      <c r="K927" s="5" t="s">
        <v>64</v>
      </c>
    </row>
    <row r="928" spans="2:11" ht="15.75" hidden="1" customHeight="1" x14ac:dyDescent="0.2">
      <c r="B928" s="4" t="s">
        <v>1435</v>
      </c>
      <c r="C928" s="4" t="s">
        <v>2132</v>
      </c>
      <c r="D928" s="4" t="s">
        <v>71</v>
      </c>
      <c r="E928" s="5" t="s">
        <v>159</v>
      </c>
      <c r="F928" s="4" t="s">
        <v>2131</v>
      </c>
      <c r="G928" s="19" t="str">
        <f>HYPERLINK("https://www.youtube.com/watch?v=iGJ3XosJuww","Youtube")</f>
        <v>Youtube</v>
      </c>
      <c r="H928" s="6" t="s">
        <v>3</v>
      </c>
      <c r="I928" s="5" t="s">
        <v>305</v>
      </c>
      <c r="J928" s="5" t="s">
        <v>1492</v>
      </c>
      <c r="K928" s="5" t="s">
        <v>64</v>
      </c>
    </row>
    <row r="929" spans="2:11" ht="15.75" hidden="1" customHeight="1" x14ac:dyDescent="0.2">
      <c r="B929" s="4" t="s">
        <v>1435</v>
      </c>
      <c r="C929" s="6" t="s">
        <v>271</v>
      </c>
      <c r="D929" s="6" t="s">
        <v>94</v>
      </c>
      <c r="E929" s="5" t="s">
        <v>159</v>
      </c>
      <c r="F929" s="4" t="s">
        <v>2130</v>
      </c>
      <c r="G929" s="19" t="s">
        <v>1467</v>
      </c>
      <c r="H929" s="6" t="s">
        <v>11</v>
      </c>
      <c r="I929" s="5" t="s">
        <v>305</v>
      </c>
      <c r="J929" s="5" t="s">
        <v>2059</v>
      </c>
      <c r="K929" s="5" t="s">
        <v>840</v>
      </c>
    </row>
    <row r="930" spans="2:11" ht="15.75" hidden="1" customHeight="1" x14ac:dyDescent="0.2">
      <c r="B930" s="4" t="s">
        <v>1435</v>
      </c>
      <c r="C930" s="6" t="s">
        <v>271</v>
      </c>
      <c r="D930" s="6" t="s">
        <v>94</v>
      </c>
      <c r="E930" s="5" t="s">
        <v>159</v>
      </c>
      <c r="F930" s="4" t="s">
        <v>2129</v>
      </c>
      <c r="G930" s="19" t="str">
        <f>HYPERLINK("https://m.facebook.com/story.php?story_fbid=1556285001110285&amp;id=336779206394210","Facebook")</f>
        <v>Facebook</v>
      </c>
      <c r="H930" s="6" t="s">
        <v>11</v>
      </c>
      <c r="I930" s="5" t="s">
        <v>305</v>
      </c>
      <c r="J930" s="5" t="s">
        <v>1485</v>
      </c>
      <c r="K930" s="5" t="s">
        <v>108</v>
      </c>
    </row>
    <row r="931" spans="2:11" ht="15.75" hidden="1" customHeight="1" x14ac:dyDescent="0.2">
      <c r="B931" s="4" t="s">
        <v>1435</v>
      </c>
      <c r="C931" s="4" t="s">
        <v>1495</v>
      </c>
      <c r="D931" s="4" t="s">
        <v>94</v>
      </c>
      <c r="E931" s="5" t="s">
        <v>159</v>
      </c>
      <c r="F931" s="4" t="s">
        <v>2128</v>
      </c>
      <c r="G931" s="19" t="str">
        <f>HYPERLINK("https://www.youtube.com/watch?v=wlQcTVDi9Zk","Youtube")</f>
        <v>Youtube</v>
      </c>
      <c r="H931" s="6" t="s">
        <v>3</v>
      </c>
      <c r="I931" s="5" t="s">
        <v>305</v>
      </c>
      <c r="J931" s="5" t="s">
        <v>1492</v>
      </c>
      <c r="K931" s="5" t="s">
        <v>1430</v>
      </c>
    </row>
    <row r="932" spans="2:11" ht="15.75" hidden="1" customHeight="1" x14ac:dyDescent="0.2">
      <c r="B932" s="4" t="s">
        <v>1435</v>
      </c>
      <c r="C932" s="4" t="s">
        <v>2127</v>
      </c>
      <c r="D932" s="4" t="s">
        <v>236</v>
      </c>
      <c r="E932" s="5" t="s">
        <v>159</v>
      </c>
      <c r="F932" s="4" t="s">
        <v>2126</v>
      </c>
      <c r="G932" s="19" t="str">
        <f>HYPERLINK("http://englishnews.thegoan.net/story.php?id=30881","News")</f>
        <v>News</v>
      </c>
      <c r="H932" s="6" t="s">
        <v>3</v>
      </c>
      <c r="I932" s="5" t="s">
        <v>305</v>
      </c>
      <c r="J932" s="5" t="s">
        <v>1700</v>
      </c>
      <c r="K932" s="5" t="s">
        <v>34</v>
      </c>
    </row>
    <row r="933" spans="2:11" ht="15.75" hidden="1" customHeight="1" x14ac:dyDescent="0.2">
      <c r="B933" s="4" t="s">
        <v>1435</v>
      </c>
      <c r="C933" s="4" t="s">
        <v>358</v>
      </c>
      <c r="D933" s="4" t="s">
        <v>42</v>
      </c>
      <c r="E933" s="5" t="s">
        <v>5</v>
      </c>
      <c r="F933" s="4" t="s">
        <v>2125</v>
      </c>
      <c r="G933" s="19" t="s">
        <v>3</v>
      </c>
      <c r="H933" s="6" t="s">
        <v>3</v>
      </c>
      <c r="I933" s="5" t="s">
        <v>305</v>
      </c>
      <c r="J933" s="5" t="s">
        <v>2066</v>
      </c>
      <c r="K933" s="5" t="s">
        <v>514</v>
      </c>
    </row>
    <row r="934" spans="2:11" ht="15.75" hidden="1" customHeight="1" x14ac:dyDescent="0.2">
      <c r="B934" s="4" t="s">
        <v>1435</v>
      </c>
      <c r="C934" s="4" t="s">
        <v>889</v>
      </c>
      <c r="D934" s="4" t="s">
        <v>36</v>
      </c>
      <c r="E934" s="5" t="s">
        <v>159</v>
      </c>
      <c r="F934" s="4" t="s">
        <v>2124</v>
      </c>
      <c r="G934" s="19" t="s">
        <v>944</v>
      </c>
      <c r="H934" s="6" t="s">
        <v>272</v>
      </c>
      <c r="I934" s="5" t="s">
        <v>305</v>
      </c>
      <c r="J934" s="5" t="s">
        <v>1485</v>
      </c>
      <c r="K934" s="5" t="s">
        <v>1996</v>
      </c>
    </row>
    <row r="935" spans="2:11" ht="15.75" hidden="1" customHeight="1" x14ac:dyDescent="0.2">
      <c r="B935" s="4" t="s">
        <v>1435</v>
      </c>
      <c r="C935" s="4" t="s">
        <v>228</v>
      </c>
      <c r="D935" s="4" t="s">
        <v>36</v>
      </c>
      <c r="E935" s="5" t="s">
        <v>159</v>
      </c>
      <c r="F935" s="4" t="s">
        <v>2123</v>
      </c>
      <c r="G935" s="19" t="s">
        <v>944</v>
      </c>
      <c r="H935" s="6" t="s">
        <v>272</v>
      </c>
      <c r="I935" s="5" t="s">
        <v>305</v>
      </c>
      <c r="J935" s="5" t="s">
        <v>1485</v>
      </c>
      <c r="K935" s="5" t="s">
        <v>57</v>
      </c>
    </row>
    <row r="936" spans="2:11" ht="15.75" hidden="1" customHeight="1" x14ac:dyDescent="0.2">
      <c r="B936" s="4" t="s">
        <v>1435</v>
      </c>
      <c r="C936" s="4" t="s">
        <v>201</v>
      </c>
      <c r="D936" s="4" t="s">
        <v>154</v>
      </c>
      <c r="E936" s="5" t="s">
        <v>159</v>
      </c>
      <c r="F936" s="4" t="s">
        <v>2122</v>
      </c>
      <c r="G936" s="19" t="str">
        <f>HYPERLINK("https://indianexpress.com/article/india/at-cow-hospital-in-punjab-signs-of-sword-and-acid-attacks-on-bovines/","News")</f>
        <v>News</v>
      </c>
      <c r="H936" s="6" t="s">
        <v>3</v>
      </c>
      <c r="I936" s="5" t="s">
        <v>305</v>
      </c>
      <c r="J936" s="5" t="s">
        <v>15</v>
      </c>
      <c r="K936" s="5" t="s">
        <v>57</v>
      </c>
    </row>
    <row r="937" spans="2:11" ht="15.75" hidden="1" customHeight="1" x14ac:dyDescent="0.2">
      <c r="B937" s="4" t="s">
        <v>1435</v>
      </c>
      <c r="C937" s="4" t="s">
        <v>91</v>
      </c>
      <c r="D937" s="4" t="s">
        <v>42</v>
      </c>
      <c r="E937" s="5" t="s">
        <v>159</v>
      </c>
      <c r="F937" s="4" t="s">
        <v>2121</v>
      </c>
      <c r="G937" s="19" t="str">
        <f>HYPERLINK("https://timesofindia.indiatimes.com/videos/city/lucknow/devotees-celebrate-nagpanchami-in-up/videoshow/59807106.cms","News")</f>
        <v>News</v>
      </c>
      <c r="H937" s="6" t="s">
        <v>3</v>
      </c>
      <c r="I937" s="5" t="s">
        <v>305</v>
      </c>
      <c r="J937" s="5" t="s">
        <v>2120</v>
      </c>
      <c r="K937" s="5" t="s">
        <v>509</v>
      </c>
    </row>
    <row r="938" spans="2:11" ht="15.75" hidden="1" customHeight="1" x14ac:dyDescent="0.2">
      <c r="B938" s="4" t="s">
        <v>1435</v>
      </c>
      <c r="C938" s="4" t="s">
        <v>1047</v>
      </c>
      <c r="D938" s="4" t="s">
        <v>42</v>
      </c>
      <c r="E938" s="5" t="s">
        <v>159</v>
      </c>
      <c r="F938" s="4" t="s">
        <v>2119</v>
      </c>
      <c r="G938" s="19" t="str">
        <f>HYPERLINK("https://www.facebook.com/photo.php?fbid=1439818356113473&amp;set=pcb.1479800865419139&amp;type=3&amp;theater&amp;ifg=1","Facebook")</f>
        <v>Facebook</v>
      </c>
      <c r="H938" s="6" t="s">
        <v>11</v>
      </c>
      <c r="I938" s="5" t="s">
        <v>305</v>
      </c>
      <c r="J938" s="5" t="s">
        <v>1485</v>
      </c>
      <c r="K938" s="5" t="s">
        <v>1430</v>
      </c>
    </row>
    <row r="939" spans="2:11" ht="15.75" hidden="1" customHeight="1" x14ac:dyDescent="0.2">
      <c r="B939" s="4" t="s">
        <v>1435</v>
      </c>
      <c r="C939" s="4" t="s">
        <v>2118</v>
      </c>
      <c r="D939" s="4" t="s">
        <v>150</v>
      </c>
      <c r="E939" s="5" t="s">
        <v>159</v>
      </c>
      <c r="F939" s="4" t="s">
        <v>2117</v>
      </c>
      <c r="G939" s="19" t="str">
        <f>HYPERLINK("https://www.arre.co.in/people/kabootarbaaz-india-birdman-pigeon-trainer-old-delhi/","News ")</f>
        <v xml:space="preserve">News </v>
      </c>
      <c r="H939" s="6" t="s">
        <v>3</v>
      </c>
      <c r="I939" s="5" t="s">
        <v>305</v>
      </c>
      <c r="J939" s="5" t="s">
        <v>1492</v>
      </c>
      <c r="K939" s="5" t="s">
        <v>147</v>
      </c>
    </row>
    <row r="940" spans="2:11" ht="15.75" hidden="1" customHeight="1" x14ac:dyDescent="0.2">
      <c r="B940" s="4" t="s">
        <v>1435</v>
      </c>
      <c r="C940" s="4" t="s">
        <v>2116</v>
      </c>
      <c r="D940" s="4" t="s">
        <v>150</v>
      </c>
      <c r="E940" s="5" t="s">
        <v>159</v>
      </c>
      <c r="F940" s="4" t="s">
        <v>2115</v>
      </c>
      <c r="G940" s="19" t="str">
        <f>HYPERLINK("https://www.facebook.com/groups/sgacc/search/?query=monkey&amp;epa=SEARCH_BOX","Facebook")</f>
        <v>Facebook</v>
      </c>
      <c r="H940" s="6" t="s">
        <v>11</v>
      </c>
      <c r="I940" s="5" t="s">
        <v>305</v>
      </c>
      <c r="J940" s="5" t="s">
        <v>1439</v>
      </c>
      <c r="K940" s="5" t="s">
        <v>19</v>
      </c>
    </row>
    <row r="941" spans="2:11" ht="15.75" hidden="1" customHeight="1" x14ac:dyDescent="0.2">
      <c r="B941" s="4" t="s">
        <v>1435</v>
      </c>
      <c r="C941" s="4" t="s">
        <v>1222</v>
      </c>
      <c r="D941" s="4" t="s">
        <v>77</v>
      </c>
      <c r="E941" s="5" t="s">
        <v>159</v>
      </c>
      <c r="F941" s="4" t="s">
        <v>2114</v>
      </c>
      <c r="G941" s="19" t="s">
        <v>3</v>
      </c>
      <c r="H941" s="6" t="s">
        <v>3</v>
      </c>
      <c r="I941" s="5" t="s">
        <v>305</v>
      </c>
      <c r="J941" s="5" t="s">
        <v>1700</v>
      </c>
      <c r="K941" s="5" t="s">
        <v>34</v>
      </c>
    </row>
    <row r="942" spans="2:11" ht="15.75" hidden="1" customHeight="1" x14ac:dyDescent="0.2">
      <c r="B942" s="4" t="s">
        <v>1435</v>
      </c>
      <c r="C942" s="4" t="s">
        <v>2113</v>
      </c>
      <c r="D942" s="4" t="s">
        <v>150</v>
      </c>
      <c r="E942" s="5" t="s">
        <v>159</v>
      </c>
      <c r="F942" s="4" t="s">
        <v>2112</v>
      </c>
      <c r="G942" s="19" t="str">
        <f>HYPERLINK("https://www.facebook.com/photo.php?fbid=10212714408957301&amp;set=pcb.1399220870143806&amp;type=3&amp;theater&amp;ifg=1","Facebook")</f>
        <v>Facebook</v>
      </c>
      <c r="H942" s="6" t="s">
        <v>11</v>
      </c>
      <c r="I942" s="5" t="s">
        <v>305</v>
      </c>
      <c r="J942" s="5" t="s">
        <v>1492</v>
      </c>
      <c r="K942" s="5" t="s">
        <v>19</v>
      </c>
    </row>
    <row r="943" spans="2:11" ht="15.75" hidden="1" customHeight="1" x14ac:dyDescent="0.2">
      <c r="B943" s="4" t="s">
        <v>1435</v>
      </c>
      <c r="C943" s="4" t="s">
        <v>2111</v>
      </c>
      <c r="D943" s="4" t="s">
        <v>36</v>
      </c>
      <c r="E943" s="5" t="s">
        <v>159</v>
      </c>
      <c r="F943" s="4" t="s">
        <v>2110</v>
      </c>
      <c r="G943" s="19" t="str">
        <f>HYPERLINK("https://www.youtube.com/watch?v=a4wsMRpVQBc","Youtube (News)")</f>
        <v>Youtube (News)</v>
      </c>
      <c r="H943" s="6" t="s">
        <v>3</v>
      </c>
      <c r="I943" s="5" t="s">
        <v>305</v>
      </c>
      <c r="J943" s="5" t="s">
        <v>2107</v>
      </c>
      <c r="K943" s="5" t="s">
        <v>1430</v>
      </c>
    </row>
    <row r="944" spans="2:11" ht="15.75" hidden="1" customHeight="1" x14ac:dyDescent="0.2">
      <c r="B944" s="4" t="s">
        <v>1435</v>
      </c>
      <c r="C944" s="4" t="s">
        <v>2109</v>
      </c>
      <c r="D944" s="4" t="s">
        <v>36</v>
      </c>
      <c r="E944" s="5" t="s">
        <v>17</v>
      </c>
      <c r="F944" s="4" t="s">
        <v>2108</v>
      </c>
      <c r="G944" s="19" t="str">
        <f>HYPERLINK("https://www.youtube.com/watch?v=1d6LbuXanZs","Youtube (News)")</f>
        <v>Youtube (News)</v>
      </c>
      <c r="H944" s="6" t="s">
        <v>3</v>
      </c>
      <c r="I944" s="5" t="s">
        <v>305</v>
      </c>
      <c r="J944" s="5" t="s">
        <v>2107</v>
      </c>
      <c r="K944" s="5" t="s">
        <v>1430</v>
      </c>
    </row>
    <row r="945" spans="2:11" ht="15.75" hidden="1" customHeight="1" x14ac:dyDescent="0.2">
      <c r="B945" s="4" t="s">
        <v>1435</v>
      </c>
      <c r="C945" s="4" t="s">
        <v>228</v>
      </c>
      <c r="D945" s="4" t="s">
        <v>36</v>
      </c>
      <c r="E945" s="4" t="s">
        <v>159</v>
      </c>
      <c r="F945" s="4" t="s">
        <v>2106</v>
      </c>
      <c r="G945" s="4" t="s">
        <v>289</v>
      </c>
      <c r="H945" s="6" t="s">
        <v>272</v>
      </c>
      <c r="I945" s="5" t="s">
        <v>305</v>
      </c>
      <c r="J945" s="5" t="s">
        <v>852</v>
      </c>
      <c r="K945" s="5" t="s">
        <v>851</v>
      </c>
    </row>
    <row r="946" spans="2:11" ht="15.75" hidden="1" customHeight="1" x14ac:dyDescent="0.2">
      <c r="B946" s="4" t="s">
        <v>1435</v>
      </c>
      <c r="C946" s="4" t="s">
        <v>2105</v>
      </c>
      <c r="D946" s="4" t="s">
        <v>71</v>
      </c>
      <c r="E946" s="5" t="s">
        <v>159</v>
      </c>
      <c r="F946" s="4" t="s">
        <v>2104</v>
      </c>
      <c r="G946" s="19" t="str">
        <f>HYPERLINK("https://www.youtube.com/watch?v=eRnAv7kaExE","Youtube")</f>
        <v>Youtube</v>
      </c>
      <c r="H946" s="6" t="s">
        <v>3</v>
      </c>
      <c r="I946" s="5" t="s">
        <v>305</v>
      </c>
      <c r="J946" s="5" t="s">
        <v>15</v>
      </c>
      <c r="K946" s="5" t="s">
        <v>367</v>
      </c>
    </row>
    <row r="947" spans="2:11" ht="15.75" hidden="1" customHeight="1" x14ac:dyDescent="0.2">
      <c r="B947" s="4" t="s">
        <v>1435</v>
      </c>
      <c r="C947" s="4" t="s">
        <v>1495</v>
      </c>
      <c r="D947" s="4" t="s">
        <v>94</v>
      </c>
      <c r="E947" s="4" t="s">
        <v>159</v>
      </c>
      <c r="F947" s="4" t="s">
        <v>2103</v>
      </c>
      <c r="G947" s="19" t="str">
        <f>HYPERLINK("https://www.hindustantimes.com/jaipur/demand-to-resume-tonga-race-gains-momentum-in-rajasthan/story-p6By5xNK7Ddr6k9FxV9xPL.html","News")</f>
        <v>News</v>
      </c>
      <c r="H947" s="6" t="s">
        <v>3</v>
      </c>
      <c r="I947" s="5" t="s">
        <v>305</v>
      </c>
      <c r="J947" s="5" t="s">
        <v>1700</v>
      </c>
      <c r="K947" s="5" t="s">
        <v>1430</v>
      </c>
    </row>
    <row r="948" spans="2:11" ht="15.75" hidden="1" customHeight="1" x14ac:dyDescent="0.2">
      <c r="B948" s="4" t="s">
        <v>1435</v>
      </c>
      <c r="C948" s="6"/>
      <c r="D948" s="6"/>
      <c r="E948" s="5" t="s">
        <v>159</v>
      </c>
      <c r="F948" s="4" t="s">
        <v>2102</v>
      </c>
      <c r="G948" s="19" t="s">
        <v>3</v>
      </c>
      <c r="H948" s="6" t="s">
        <v>3</v>
      </c>
      <c r="I948" s="5" t="s">
        <v>305</v>
      </c>
      <c r="J948" s="5" t="s">
        <v>2066</v>
      </c>
      <c r="K948" s="5" t="s">
        <v>514</v>
      </c>
    </row>
    <row r="949" spans="2:11" ht="15.75" hidden="1" customHeight="1" x14ac:dyDescent="0.2">
      <c r="B949" s="4" t="s">
        <v>1435</v>
      </c>
      <c r="C949" s="4" t="s">
        <v>53</v>
      </c>
      <c r="D949" s="4" t="s">
        <v>210</v>
      </c>
      <c r="E949" s="5" t="s">
        <v>5</v>
      </c>
      <c r="F949" s="4" t="s">
        <v>2101</v>
      </c>
      <c r="G949" s="19" t="str">
        <f>HYPERLINK("https://timesofindia.indiatimes.com/city/bhopal/snake-charmers-make-a-killing-at-bhojpur-temple/articleshow/60165844.cms","News")</f>
        <v>News</v>
      </c>
      <c r="H949" s="6" t="s">
        <v>3</v>
      </c>
      <c r="I949" s="5" t="s">
        <v>305</v>
      </c>
      <c r="J949" s="5" t="s">
        <v>1522</v>
      </c>
      <c r="K949" s="5" t="s">
        <v>851</v>
      </c>
    </row>
    <row r="950" spans="2:11" ht="15.75" hidden="1" customHeight="1" x14ac:dyDescent="0.2">
      <c r="B950" s="4" t="s">
        <v>1435</v>
      </c>
      <c r="C950" s="4" t="s">
        <v>141</v>
      </c>
      <c r="D950" s="4" t="s">
        <v>71</v>
      </c>
      <c r="E950" s="5" t="s">
        <v>5</v>
      </c>
      <c r="F950" s="4" t="s">
        <v>2100</v>
      </c>
      <c r="G950" s="19" t="s">
        <v>3</v>
      </c>
      <c r="H950" s="6" t="s">
        <v>3</v>
      </c>
      <c r="I950" s="5" t="s">
        <v>305</v>
      </c>
      <c r="J950" s="5" t="s">
        <v>1439</v>
      </c>
      <c r="K950" s="5" t="s">
        <v>955</v>
      </c>
    </row>
    <row r="951" spans="2:11" ht="15.75" hidden="1" customHeight="1" x14ac:dyDescent="0.2">
      <c r="B951" s="4" t="s">
        <v>1435</v>
      </c>
      <c r="C951" s="4" t="s">
        <v>1669</v>
      </c>
      <c r="D951" s="4" t="s">
        <v>94</v>
      </c>
      <c r="E951" s="5" t="s">
        <v>159</v>
      </c>
      <c r="F951" s="4" t="s">
        <v>2099</v>
      </c>
      <c r="G951" s="19" t="str">
        <f>HYPERLINK("https://timesofindia.indiatimes.com/city/jaipur/people-used-to-bet-on-tongas-in-ajmer/articleshow/60198894.cms","News")</f>
        <v>News</v>
      </c>
      <c r="H951" s="6" t="s">
        <v>3</v>
      </c>
      <c r="I951" s="5" t="s">
        <v>305</v>
      </c>
      <c r="J951" s="5" t="s">
        <v>1700</v>
      </c>
      <c r="K951" s="5" t="s">
        <v>1430</v>
      </c>
    </row>
    <row r="952" spans="2:11" ht="15.75" hidden="1" customHeight="1" x14ac:dyDescent="0.2">
      <c r="B952" s="4" t="s">
        <v>1435</v>
      </c>
      <c r="C952" s="4" t="s">
        <v>313</v>
      </c>
      <c r="D952" s="4" t="s">
        <v>42</v>
      </c>
      <c r="E952" s="5" t="s">
        <v>5</v>
      </c>
      <c r="F952" s="4" t="s">
        <v>2098</v>
      </c>
      <c r="G952" s="19" t="s">
        <v>2097</v>
      </c>
      <c r="H952" s="6" t="s">
        <v>1620</v>
      </c>
      <c r="I952" s="5" t="s">
        <v>305</v>
      </c>
      <c r="J952" s="5" t="s">
        <v>1492</v>
      </c>
      <c r="K952" s="5" t="s">
        <v>879</v>
      </c>
    </row>
    <row r="953" spans="2:11" ht="15.75" hidden="1" customHeight="1" x14ac:dyDescent="0.2">
      <c r="B953" s="4" t="s">
        <v>1435</v>
      </c>
      <c r="C953" s="6" t="s">
        <v>271</v>
      </c>
      <c r="D953" s="6" t="s">
        <v>94</v>
      </c>
      <c r="E953" s="18" t="s">
        <v>17</v>
      </c>
      <c r="F953" s="4" t="s">
        <v>2096</v>
      </c>
      <c r="G953" s="19" t="str">
        <f>HYPERLINK("https://m.facebook.com/story.php?story_fbid=1626923284046456&amp;id=336779206394210","Facebook")</f>
        <v>Facebook</v>
      </c>
      <c r="H953" s="6" t="s">
        <v>11</v>
      </c>
      <c r="I953" s="5" t="s">
        <v>305</v>
      </c>
      <c r="J953" s="5" t="s">
        <v>1485</v>
      </c>
      <c r="K953" s="5" t="s">
        <v>108</v>
      </c>
    </row>
    <row r="954" spans="2:11" ht="15.75" hidden="1" customHeight="1" x14ac:dyDescent="0.2">
      <c r="B954" s="4" t="s">
        <v>1435</v>
      </c>
      <c r="C954" s="4" t="s">
        <v>104</v>
      </c>
      <c r="D954" s="4" t="s">
        <v>18</v>
      </c>
      <c r="E954" s="5" t="s">
        <v>23</v>
      </c>
      <c r="F954" s="4" t="s">
        <v>2095</v>
      </c>
      <c r="G954" s="19" t="str">
        <f>HYPERLINK("https://localpress.co.in/mumbai/shruti-ulfat-nagarjuna-fame-arrested-posing-live-cobra-posting-video-social-media/","News")</f>
        <v>News</v>
      </c>
      <c r="H954" s="6" t="s">
        <v>3</v>
      </c>
      <c r="I954" s="5" t="s">
        <v>305</v>
      </c>
      <c r="J954" s="5" t="s">
        <v>1492</v>
      </c>
      <c r="K954" s="5" t="s">
        <v>851</v>
      </c>
    </row>
    <row r="955" spans="2:11" ht="15.75" hidden="1" customHeight="1" x14ac:dyDescent="0.2">
      <c r="B955" s="4" t="s">
        <v>1435</v>
      </c>
      <c r="C955" s="4" t="s">
        <v>2094</v>
      </c>
      <c r="D955" s="4" t="s">
        <v>36</v>
      </c>
      <c r="E955" s="5" t="s">
        <v>159</v>
      </c>
      <c r="F955" s="4" t="s">
        <v>2093</v>
      </c>
      <c r="G955" s="19" t="str">
        <f>HYPERLINK("https://www.newindianexpress.com/states/karnataka/2017/apr/09/with-no-checking-bullock-carts-used-to-transport-sand-illegally-1591648.html","News")</f>
        <v>News</v>
      </c>
      <c r="H955" s="6" t="s">
        <v>3</v>
      </c>
      <c r="I955" s="5" t="s">
        <v>305</v>
      </c>
      <c r="J955" s="5" t="s">
        <v>2059</v>
      </c>
      <c r="K955" s="5" t="s">
        <v>34</v>
      </c>
    </row>
    <row r="956" spans="2:11" ht="15.75" hidden="1" customHeight="1" x14ac:dyDescent="0.2">
      <c r="B956" s="4" t="s">
        <v>1435</v>
      </c>
      <c r="C956" s="4" t="s">
        <v>2092</v>
      </c>
      <c r="D956" s="4" t="s">
        <v>71</v>
      </c>
      <c r="E956" s="5" t="s">
        <v>23</v>
      </c>
      <c r="F956" s="4" t="s">
        <v>2091</v>
      </c>
      <c r="G956" s="19" t="str">
        <f>HYPERLINK("https://www.huffingtonpost.in/2017/08/09/a-bunch-of-people-got-together-in-haryana-to-torture-and-murder_a_23071559/?utm_hp_ref=in-animal-cruelty","News")</f>
        <v>News</v>
      </c>
      <c r="H956" s="6" t="s">
        <v>3</v>
      </c>
      <c r="I956" s="5" t="s">
        <v>305</v>
      </c>
      <c r="J956" s="5" t="s">
        <v>15</v>
      </c>
      <c r="K956" s="5" t="s">
        <v>1430</v>
      </c>
    </row>
    <row r="957" spans="2:11" ht="15.75" hidden="1" customHeight="1" x14ac:dyDescent="0.2">
      <c r="B957" s="4" t="s">
        <v>1435</v>
      </c>
      <c r="C957" s="4" t="s">
        <v>228</v>
      </c>
      <c r="D957" s="4" t="s">
        <v>36</v>
      </c>
      <c r="E957" s="5" t="s">
        <v>159</v>
      </c>
      <c r="F957" s="4" t="s">
        <v>2090</v>
      </c>
      <c r="G957" s="19" t="s">
        <v>944</v>
      </c>
      <c r="H957" s="6" t="s">
        <v>272</v>
      </c>
      <c r="I957" s="5" t="s">
        <v>305</v>
      </c>
      <c r="J957" s="5" t="s">
        <v>1485</v>
      </c>
      <c r="K957" s="5" t="s">
        <v>108</v>
      </c>
    </row>
    <row r="958" spans="2:11" ht="15.75" hidden="1" customHeight="1" x14ac:dyDescent="0.2">
      <c r="B958" s="4" t="s">
        <v>1435</v>
      </c>
      <c r="C958" s="4" t="s">
        <v>2089</v>
      </c>
      <c r="D958" s="4" t="s">
        <v>59</v>
      </c>
      <c r="E958" s="5" t="s">
        <v>55</v>
      </c>
      <c r="F958" s="4" t="s">
        <v>2088</v>
      </c>
      <c r="G958" s="19" t="s">
        <v>3</v>
      </c>
      <c r="H958" s="6" t="s">
        <v>3</v>
      </c>
      <c r="I958" s="5" t="s">
        <v>305</v>
      </c>
      <c r="J958" s="5" t="s">
        <v>1700</v>
      </c>
      <c r="K958" s="5" t="s">
        <v>34</v>
      </c>
    </row>
    <row r="959" spans="2:11" ht="15.75" hidden="1" customHeight="1" x14ac:dyDescent="0.2">
      <c r="B959" s="4" t="s">
        <v>1435</v>
      </c>
      <c r="C959" s="4" t="s">
        <v>228</v>
      </c>
      <c r="D959" s="4" t="s">
        <v>36</v>
      </c>
      <c r="E959" s="5" t="s">
        <v>159</v>
      </c>
      <c r="F959" s="4" t="s">
        <v>2087</v>
      </c>
      <c r="G959" s="19" t="s">
        <v>944</v>
      </c>
      <c r="H959" s="6" t="s">
        <v>272</v>
      </c>
      <c r="I959" s="5" t="s">
        <v>305</v>
      </c>
      <c r="J959" s="5" t="s">
        <v>1485</v>
      </c>
      <c r="K959" s="5" t="s">
        <v>1996</v>
      </c>
    </row>
    <row r="960" spans="2:11" ht="15.75" hidden="1" customHeight="1" x14ac:dyDescent="0.2">
      <c r="B960" s="4" t="s">
        <v>1435</v>
      </c>
      <c r="C960" s="4" t="s">
        <v>2086</v>
      </c>
      <c r="D960" s="4" t="s">
        <v>36</v>
      </c>
      <c r="E960" s="5" t="s">
        <v>159</v>
      </c>
      <c r="F960" s="4" t="s">
        <v>2085</v>
      </c>
      <c r="G960" s="19" t="str">
        <f>HYPERLINK("https://www.youtube.com/watch?v=y0-jD14OLaQ","Youtube (News)")</f>
        <v>Youtube (News)</v>
      </c>
      <c r="H960" s="6" t="s">
        <v>3</v>
      </c>
      <c r="I960" s="5" t="s">
        <v>305</v>
      </c>
      <c r="J960" s="5" t="s">
        <v>1700</v>
      </c>
      <c r="K960" s="5" t="s">
        <v>1874</v>
      </c>
    </row>
    <row r="961" spans="2:11" ht="15.75" hidden="1" customHeight="1" x14ac:dyDescent="0.2">
      <c r="B961" s="4" t="s">
        <v>1435</v>
      </c>
      <c r="C961" s="6"/>
      <c r="D961" s="6"/>
      <c r="E961" s="5" t="s">
        <v>5</v>
      </c>
      <c r="F961" s="4" t="s">
        <v>2084</v>
      </c>
      <c r="G961" s="19" t="s">
        <v>3</v>
      </c>
      <c r="H961" s="6" t="s">
        <v>3</v>
      </c>
      <c r="I961" s="5" t="s">
        <v>305</v>
      </c>
      <c r="J961" s="5" t="s">
        <v>1700</v>
      </c>
      <c r="K961" s="5" t="s">
        <v>908</v>
      </c>
    </row>
    <row r="962" spans="2:11" ht="15.75" hidden="1" customHeight="1" x14ac:dyDescent="0.2">
      <c r="B962" s="4" t="s">
        <v>1435</v>
      </c>
      <c r="C962" s="4" t="s">
        <v>228</v>
      </c>
      <c r="D962" s="4" t="s">
        <v>36</v>
      </c>
      <c r="E962" s="5" t="s">
        <v>17</v>
      </c>
      <c r="F962" s="4" t="s">
        <v>2083</v>
      </c>
      <c r="G962" s="19" t="s">
        <v>944</v>
      </c>
      <c r="H962" s="6" t="s">
        <v>272</v>
      </c>
      <c r="I962" s="5" t="s">
        <v>305</v>
      </c>
      <c r="J962" s="5" t="s">
        <v>1485</v>
      </c>
      <c r="K962" s="5" t="s">
        <v>367</v>
      </c>
    </row>
    <row r="963" spans="2:11" ht="15.75" hidden="1" customHeight="1" x14ac:dyDescent="0.2">
      <c r="B963" s="4" t="s">
        <v>1435</v>
      </c>
      <c r="C963" s="4" t="s">
        <v>2082</v>
      </c>
      <c r="D963" s="4" t="s">
        <v>18</v>
      </c>
      <c r="E963" s="5" t="s">
        <v>159</v>
      </c>
      <c r="F963" s="4" t="s">
        <v>2081</v>
      </c>
      <c r="G963" s="19" t="str">
        <f>HYPERLINK("https://www.animalrahat.com/latest-news/animal-rahats-mission-detoxify-karwani/","Animal Rahat")</f>
        <v>Animal Rahat</v>
      </c>
      <c r="H963" s="6" t="s">
        <v>1620</v>
      </c>
      <c r="I963" s="5" t="s">
        <v>305</v>
      </c>
      <c r="J963" s="5" t="s">
        <v>1700</v>
      </c>
      <c r="K963" s="5" t="s">
        <v>2080</v>
      </c>
    </row>
    <row r="964" spans="2:11" ht="15.75" hidden="1" customHeight="1" x14ac:dyDescent="0.2">
      <c r="B964" s="4" t="s">
        <v>1435</v>
      </c>
      <c r="C964" s="6"/>
      <c r="D964" s="4" t="s">
        <v>236</v>
      </c>
      <c r="E964" s="5" t="s">
        <v>17</v>
      </c>
      <c r="F964" s="4" t="s">
        <v>2079</v>
      </c>
      <c r="G964" s="19" t="s">
        <v>1467</v>
      </c>
      <c r="H964" s="6" t="s">
        <v>11</v>
      </c>
      <c r="I964" s="5" t="s">
        <v>305</v>
      </c>
      <c r="J964" s="5" t="s">
        <v>1485</v>
      </c>
      <c r="K964" s="5" t="s">
        <v>34</v>
      </c>
    </row>
    <row r="965" spans="2:11" ht="15.75" hidden="1" customHeight="1" x14ac:dyDescent="0.2">
      <c r="B965" s="4" t="s">
        <v>1435</v>
      </c>
      <c r="C965" s="6" t="s">
        <v>271</v>
      </c>
      <c r="D965" s="6" t="s">
        <v>94</v>
      </c>
      <c r="E965" s="5" t="s">
        <v>17</v>
      </c>
      <c r="F965" s="4" t="s">
        <v>2078</v>
      </c>
      <c r="G965" s="19" t="str">
        <f>HYPERLINK("https://m.facebook.com/story.php?story_fbid=1685999701472147&amp;id=336779206394210","Facebook")</f>
        <v>Facebook</v>
      </c>
      <c r="H965" s="6" t="s">
        <v>11</v>
      </c>
      <c r="I965" s="5" t="s">
        <v>305</v>
      </c>
      <c r="J965" s="5" t="s">
        <v>2059</v>
      </c>
      <c r="K965" s="5" t="s">
        <v>1272</v>
      </c>
    </row>
    <row r="966" spans="2:11" ht="15.75" hidden="1" customHeight="1" x14ac:dyDescent="0.2">
      <c r="B966" s="4" t="s">
        <v>1435</v>
      </c>
      <c r="C966" s="6" t="s">
        <v>95</v>
      </c>
      <c r="D966" s="6" t="s">
        <v>94</v>
      </c>
      <c r="E966" s="5" t="s">
        <v>23</v>
      </c>
      <c r="F966" s="4" t="s">
        <v>2077</v>
      </c>
      <c r="G966" s="19" t="str">
        <f>HYPERLINK("https://www.youtube.com/watch?v=wzFJPKBpuAQ","Youtube (Animal Aid Unlimited) ")</f>
        <v xml:space="preserve">Youtube (Animal Aid Unlimited) </v>
      </c>
      <c r="H966" s="6" t="s">
        <v>272</v>
      </c>
      <c r="I966" s="5" t="s">
        <v>305</v>
      </c>
      <c r="J966" s="5" t="s">
        <v>1485</v>
      </c>
      <c r="K966" s="5" t="s">
        <v>639</v>
      </c>
    </row>
    <row r="967" spans="2:11" ht="15.75" hidden="1" customHeight="1" x14ac:dyDescent="0.2">
      <c r="B967" s="4" t="s">
        <v>1435</v>
      </c>
      <c r="C967" s="4" t="s">
        <v>2076</v>
      </c>
      <c r="D967" s="4" t="s">
        <v>18</v>
      </c>
      <c r="E967" s="5" t="s">
        <v>17</v>
      </c>
      <c r="F967" s="4" t="s">
        <v>2075</v>
      </c>
      <c r="G967" s="19" t="str">
        <f>HYPERLINK("https://timesofindia.indiatimes.com/city/pune/bullock-cart-owners-block-pune-nashik-highway-demand-lifting-of-cattle-race-ban/articleshow/61309942.cms","News")</f>
        <v>News</v>
      </c>
      <c r="H967" s="6" t="s">
        <v>3</v>
      </c>
      <c r="I967" s="5" t="s">
        <v>305</v>
      </c>
      <c r="J967" s="5" t="s">
        <v>1700</v>
      </c>
      <c r="K967" s="5" t="s">
        <v>34</v>
      </c>
    </row>
    <row r="968" spans="2:11" ht="15.75" hidden="1" customHeight="1" x14ac:dyDescent="0.2">
      <c r="B968" s="4" t="s">
        <v>1435</v>
      </c>
      <c r="C968" s="6" t="s">
        <v>95</v>
      </c>
      <c r="D968" s="6" t="s">
        <v>94</v>
      </c>
      <c r="E968" s="5" t="s">
        <v>17</v>
      </c>
      <c r="F968" s="4" t="s">
        <v>2074</v>
      </c>
      <c r="G968" s="19" t="s">
        <v>1467</v>
      </c>
      <c r="H968" s="6" t="s">
        <v>11</v>
      </c>
      <c r="I968" s="5" t="s">
        <v>305</v>
      </c>
      <c r="J968" s="5" t="s">
        <v>1485</v>
      </c>
      <c r="K968" s="5" t="s">
        <v>57</v>
      </c>
    </row>
    <row r="969" spans="2:11" ht="15.75" hidden="1" customHeight="1" x14ac:dyDescent="0.2">
      <c r="B969" s="4" t="s">
        <v>1435</v>
      </c>
      <c r="C969" s="4" t="s">
        <v>2073</v>
      </c>
      <c r="D969" s="4" t="s">
        <v>236</v>
      </c>
      <c r="E969" s="5" t="s">
        <v>17</v>
      </c>
      <c r="F969" s="4" t="s">
        <v>2072</v>
      </c>
      <c r="G969" s="19" t="str">
        <f>HYPERLINK("https://www.youtube.com/watch?v=OqITkXNEStI","Youtube ")</f>
        <v xml:space="preserve">Youtube </v>
      </c>
      <c r="H969" s="6" t="s">
        <v>3</v>
      </c>
      <c r="I969" s="5" t="s">
        <v>305</v>
      </c>
      <c r="J969" s="5" t="s">
        <v>1700</v>
      </c>
      <c r="K969" s="5" t="s">
        <v>34</v>
      </c>
    </row>
    <row r="970" spans="2:11" ht="15.75" hidden="1" customHeight="1" x14ac:dyDescent="0.2">
      <c r="B970" s="4" t="s">
        <v>1435</v>
      </c>
      <c r="C970" s="6" t="s">
        <v>271</v>
      </c>
      <c r="D970" s="6" t="s">
        <v>94</v>
      </c>
      <c r="E970" s="5" t="s">
        <v>17</v>
      </c>
      <c r="F970" s="4" t="s">
        <v>2071</v>
      </c>
      <c r="G970" s="19" t="s">
        <v>1467</v>
      </c>
      <c r="H970" s="6" t="s">
        <v>11</v>
      </c>
      <c r="I970" s="5" t="s">
        <v>305</v>
      </c>
      <c r="J970" s="5" t="s">
        <v>1439</v>
      </c>
      <c r="K970" s="5" t="s">
        <v>229</v>
      </c>
    </row>
    <row r="971" spans="2:11" ht="15.75" hidden="1" customHeight="1" x14ac:dyDescent="0.2">
      <c r="B971" s="4" t="s">
        <v>1435</v>
      </c>
      <c r="C971" s="6" t="s">
        <v>271</v>
      </c>
      <c r="D971" s="4" t="s">
        <v>94</v>
      </c>
      <c r="E971" s="5" t="s">
        <v>17</v>
      </c>
      <c r="F971" s="4" t="s">
        <v>2070</v>
      </c>
      <c r="G971" s="19" t="s">
        <v>1467</v>
      </c>
      <c r="H971" s="6" t="s">
        <v>11</v>
      </c>
      <c r="I971" s="5" t="s">
        <v>305</v>
      </c>
      <c r="J971" s="5" t="s">
        <v>1439</v>
      </c>
      <c r="K971" s="5" t="s">
        <v>229</v>
      </c>
    </row>
    <row r="972" spans="2:11" ht="15.75" hidden="1" customHeight="1" x14ac:dyDescent="0.2">
      <c r="B972" s="4" t="s">
        <v>1435</v>
      </c>
      <c r="C972" s="4" t="s">
        <v>228</v>
      </c>
      <c r="D972" s="4" t="s">
        <v>36</v>
      </c>
      <c r="E972" s="5" t="s">
        <v>159</v>
      </c>
      <c r="F972" s="4" t="s">
        <v>2069</v>
      </c>
      <c r="G972" s="19" t="s">
        <v>944</v>
      </c>
      <c r="H972" s="6" t="s">
        <v>272</v>
      </c>
      <c r="I972" s="5" t="s">
        <v>305</v>
      </c>
      <c r="J972" s="5" t="s">
        <v>1485</v>
      </c>
      <c r="K972" s="5" t="s">
        <v>57</v>
      </c>
    </row>
    <row r="973" spans="2:11" ht="15.75" hidden="1" customHeight="1" x14ac:dyDescent="0.2">
      <c r="B973" s="4" t="s">
        <v>1435</v>
      </c>
      <c r="C973" s="4" t="s">
        <v>2068</v>
      </c>
      <c r="D973" s="4" t="s">
        <v>62</v>
      </c>
      <c r="E973" s="5" t="s">
        <v>5</v>
      </c>
      <c r="F973" s="4" t="s">
        <v>2067</v>
      </c>
      <c r="G973" s="19" t="s">
        <v>1620</v>
      </c>
      <c r="H973" s="6" t="s">
        <v>1620</v>
      </c>
      <c r="I973" s="5" t="s">
        <v>305</v>
      </c>
      <c r="J973" s="5" t="s">
        <v>2066</v>
      </c>
      <c r="K973" s="5" t="s">
        <v>514</v>
      </c>
    </row>
    <row r="974" spans="2:11" ht="15.75" hidden="1" customHeight="1" x14ac:dyDescent="0.2">
      <c r="B974" s="4" t="s">
        <v>1435</v>
      </c>
      <c r="C974" s="4" t="s">
        <v>2065</v>
      </c>
      <c r="D974" s="4" t="s">
        <v>77</v>
      </c>
      <c r="E974" s="5" t="s">
        <v>5</v>
      </c>
      <c r="F974" s="4" t="s">
        <v>2064</v>
      </c>
      <c r="G974" s="19" t="str">
        <f>HYPERLINK("https://www.newindianexpress.com/states/tamil-nadu/2017/feb/12/cheering-farmer-dies-as-racing-bullock-cart-ploughs-into-crowd-in-tamil-nadu-1569890.html","News")</f>
        <v>News</v>
      </c>
      <c r="H974" s="6" t="s">
        <v>3</v>
      </c>
      <c r="I974" s="5" t="s">
        <v>305</v>
      </c>
      <c r="J974" s="5" t="s">
        <v>1700</v>
      </c>
      <c r="K974" s="5" t="s">
        <v>34</v>
      </c>
    </row>
    <row r="975" spans="2:11" ht="15.75" hidden="1" customHeight="1" x14ac:dyDescent="0.2">
      <c r="B975" s="4" t="s">
        <v>1435</v>
      </c>
      <c r="C975" s="6"/>
      <c r="D975" s="6"/>
      <c r="E975" s="5" t="s">
        <v>159</v>
      </c>
      <c r="F975" s="4" t="s">
        <v>2063</v>
      </c>
      <c r="G975" s="19" t="str">
        <f>HYPERLINK("http://wildlifesos.org/priyankas-story-before-after-the-rescue-by-wildlife-sos/","Wildlife SOS")</f>
        <v>Wildlife SOS</v>
      </c>
      <c r="H975" s="6" t="s">
        <v>272</v>
      </c>
      <c r="I975" s="5" t="s">
        <v>305</v>
      </c>
      <c r="J975" s="5" t="s">
        <v>1439</v>
      </c>
      <c r="K975" s="5" t="s">
        <v>64</v>
      </c>
    </row>
    <row r="976" spans="2:11" ht="15.75" hidden="1" customHeight="1" x14ac:dyDescent="0.2">
      <c r="B976" s="4" t="s">
        <v>1435</v>
      </c>
      <c r="C976" s="4"/>
      <c r="D976" s="4"/>
      <c r="E976" s="5" t="s">
        <v>159</v>
      </c>
      <c r="F976" s="4" t="s">
        <v>2062</v>
      </c>
      <c r="G976" s="19" t="str">
        <f>HYPERLINK("https://www.youtube.com/watch?v=QbCs981oliU","Youtube")</f>
        <v>Youtube</v>
      </c>
      <c r="H976" s="6" t="s">
        <v>3</v>
      </c>
      <c r="I976" s="5" t="s">
        <v>305</v>
      </c>
      <c r="J976" s="5" t="s">
        <v>1686</v>
      </c>
      <c r="K976" s="5" t="s">
        <v>1430</v>
      </c>
    </row>
    <row r="977" spans="2:11" ht="15.75" hidden="1" customHeight="1" x14ac:dyDescent="0.2">
      <c r="B977" s="4" t="s">
        <v>1435</v>
      </c>
      <c r="C977" s="4" t="s">
        <v>228</v>
      </c>
      <c r="D977" s="4" t="s">
        <v>36</v>
      </c>
      <c r="E977" s="5" t="s">
        <v>159</v>
      </c>
      <c r="F977" s="4" t="s">
        <v>2061</v>
      </c>
      <c r="G977" s="19" t="s">
        <v>944</v>
      </c>
      <c r="H977" s="6" t="s">
        <v>272</v>
      </c>
      <c r="I977" s="5" t="s">
        <v>305</v>
      </c>
      <c r="J977" s="5" t="s">
        <v>1485</v>
      </c>
      <c r="K977" s="5" t="s">
        <v>1430</v>
      </c>
    </row>
    <row r="978" spans="2:11" ht="15.75" hidden="1" customHeight="1" x14ac:dyDescent="0.2">
      <c r="B978" s="4" t="s">
        <v>1435</v>
      </c>
      <c r="C978" s="4" t="s">
        <v>139</v>
      </c>
      <c r="D978" s="4" t="s">
        <v>18</v>
      </c>
      <c r="E978" s="5" t="s">
        <v>159</v>
      </c>
      <c r="F978" s="4" t="s">
        <v>2060</v>
      </c>
      <c r="G978" s="19" t="str">
        <f>HYPERLINK("https://punemirror.indiatimes.com/pune/civic/horse-dies-at-race-but-event-goes-on/articleshow/62100478.cms","News")</f>
        <v>News</v>
      </c>
      <c r="H978" s="6" t="s">
        <v>3</v>
      </c>
      <c r="I978" s="5" t="s">
        <v>305</v>
      </c>
      <c r="J978" s="5" t="s">
        <v>2059</v>
      </c>
      <c r="K978" s="5" t="s">
        <v>1430</v>
      </c>
    </row>
    <row r="979" spans="2:11" ht="15.75" hidden="1" customHeight="1" x14ac:dyDescent="0.2">
      <c r="B979" s="4" t="s">
        <v>1435</v>
      </c>
      <c r="C979" s="6"/>
      <c r="D979" s="6"/>
      <c r="E979" s="5" t="s">
        <v>5</v>
      </c>
      <c r="F979" s="4" t="s">
        <v>2058</v>
      </c>
      <c r="G979" s="19" t="s">
        <v>1493</v>
      </c>
      <c r="H979" s="6" t="s">
        <v>3</v>
      </c>
      <c r="I979" s="5" t="s">
        <v>305</v>
      </c>
      <c r="J979" s="5" t="s">
        <v>15</v>
      </c>
      <c r="K979" s="5" t="s">
        <v>955</v>
      </c>
    </row>
    <row r="980" spans="2:11" ht="15.75" hidden="1" customHeight="1" x14ac:dyDescent="0.2">
      <c r="B980" s="4" t="s">
        <v>1435</v>
      </c>
      <c r="C980" s="4" t="s">
        <v>2057</v>
      </c>
      <c r="D980" s="4" t="s">
        <v>18</v>
      </c>
      <c r="E980" s="5" t="s">
        <v>27</v>
      </c>
      <c r="F980" s="4" t="s">
        <v>2056</v>
      </c>
      <c r="G980" s="19" t="str">
        <f>HYPERLINK("https://indianexpress.com/article/cities/mumbai/maharashtra-booked-for-bullock-cart-race-on-christmas-5034132/","News")</f>
        <v>News</v>
      </c>
      <c r="H980" s="6" t="s">
        <v>3</v>
      </c>
      <c r="I980" s="5" t="s">
        <v>305</v>
      </c>
      <c r="J980" s="5" t="s">
        <v>1700</v>
      </c>
      <c r="K980" s="5" t="s">
        <v>34</v>
      </c>
    </row>
    <row r="981" spans="2:11" ht="15.75" hidden="1" customHeight="1" x14ac:dyDescent="0.2">
      <c r="B981" s="4" t="s">
        <v>1435</v>
      </c>
      <c r="C981" s="4" t="s">
        <v>104</v>
      </c>
      <c r="D981" s="4" t="s">
        <v>18</v>
      </c>
      <c r="E981" s="5" t="s">
        <v>23</v>
      </c>
      <c r="F981" s="4" t="s">
        <v>2055</v>
      </c>
      <c r="G981" s="19" t="str">
        <f>HYPERLINK("https://timesofindia.indiatimes.com/city/mumbai/despite-hc-ban-bullock-cart-race-organized-in-mira-road/articleshow/62320518.cms","News")</f>
        <v>News</v>
      </c>
      <c r="H981" s="6" t="s">
        <v>3</v>
      </c>
      <c r="I981" s="5" t="s">
        <v>305</v>
      </c>
      <c r="J981" s="5" t="s">
        <v>1700</v>
      </c>
      <c r="K981" s="5" t="s">
        <v>34</v>
      </c>
    </row>
    <row r="982" spans="2:11" ht="15.75" hidden="1" customHeight="1" x14ac:dyDescent="0.2">
      <c r="B982" s="4" t="s">
        <v>1435</v>
      </c>
      <c r="C982" s="6" t="s">
        <v>32</v>
      </c>
      <c r="D982" s="4" t="s">
        <v>18</v>
      </c>
      <c r="E982" s="5" t="s">
        <v>159</v>
      </c>
      <c r="F982" s="4" t="s">
        <v>2054</v>
      </c>
      <c r="G982" s="19" t="str">
        <f>HYPERLINK("https://www.facebook.com/bhumijeevdaya/posts/1760957333914561","Facebook")</f>
        <v>Facebook</v>
      </c>
      <c r="H982" s="6" t="s">
        <v>11</v>
      </c>
      <c r="I982" s="5" t="s">
        <v>305</v>
      </c>
      <c r="J982" s="5" t="s">
        <v>1485</v>
      </c>
      <c r="K982" s="5" t="s">
        <v>639</v>
      </c>
    </row>
    <row r="983" spans="2:11" ht="15.75" hidden="1" customHeight="1" x14ac:dyDescent="0.2">
      <c r="B983" s="4" t="s">
        <v>1435</v>
      </c>
      <c r="C983" s="4" t="s">
        <v>1454</v>
      </c>
      <c r="D983" s="4" t="s">
        <v>221</v>
      </c>
      <c r="E983" s="5" t="s">
        <v>17</v>
      </c>
      <c r="F983" s="4" t="s">
        <v>2053</v>
      </c>
      <c r="G983" s="19" t="str">
        <f>HYPERLINK("https://indianexpress.com/article/trending/trending-in-india/facebook-post-about-deporable-state-of-animals-in-vaishno-devi-creates-huge-outcry-offical-refute-claims-5048143/","News")</f>
        <v>News</v>
      </c>
      <c r="H983" s="6" t="s">
        <v>3</v>
      </c>
      <c r="I983" s="5" t="s">
        <v>305</v>
      </c>
      <c r="J983" s="5" t="s">
        <v>1788</v>
      </c>
      <c r="K983" s="5" t="s">
        <v>204</v>
      </c>
    </row>
    <row r="984" spans="2:11" ht="15.75" hidden="1" customHeight="1" x14ac:dyDescent="0.2">
      <c r="B984" s="4" t="s">
        <v>1435</v>
      </c>
      <c r="C984" s="4" t="s">
        <v>2052</v>
      </c>
      <c r="D984" s="4" t="s">
        <v>77</v>
      </c>
      <c r="E984" s="5" t="s">
        <v>17</v>
      </c>
      <c r="F984" s="4" t="s">
        <v>2051</v>
      </c>
      <c r="G984" s="19" t="str">
        <f>HYPERLINK("https://timesofindia.indiatimes.com/city/salem/horse-carts-vie-with-each-other-at-rekla-race/articleshow/62731479.cms","News")</f>
        <v>News</v>
      </c>
      <c r="H984" s="6" t="s">
        <v>3</v>
      </c>
      <c r="I984" s="5" t="s">
        <v>305</v>
      </c>
      <c r="J984" s="5" t="s">
        <v>1700</v>
      </c>
      <c r="K984" s="5" t="s">
        <v>1430</v>
      </c>
    </row>
    <row r="985" spans="2:11" ht="15.75" hidden="1" customHeight="1" x14ac:dyDescent="0.2">
      <c r="B985" s="4" t="s">
        <v>1435</v>
      </c>
      <c r="C985" s="4" t="s">
        <v>228</v>
      </c>
      <c r="D985" s="4" t="s">
        <v>36</v>
      </c>
      <c r="E985" s="4" t="s">
        <v>159</v>
      </c>
      <c r="F985" s="4" t="s">
        <v>2050</v>
      </c>
      <c r="G985" s="19" t="s">
        <v>289</v>
      </c>
      <c r="H985" s="6" t="s">
        <v>272</v>
      </c>
      <c r="I985" s="5" t="s">
        <v>305</v>
      </c>
      <c r="J985" s="5" t="s">
        <v>852</v>
      </c>
      <c r="K985" s="5" t="s">
        <v>288</v>
      </c>
    </row>
    <row r="986" spans="2:11" ht="15.75" hidden="1" customHeight="1" x14ac:dyDescent="0.2">
      <c r="B986" s="4" t="s">
        <v>1435</v>
      </c>
      <c r="C986" s="4" t="s">
        <v>228</v>
      </c>
      <c r="D986" s="4" t="s">
        <v>36</v>
      </c>
      <c r="E986" s="4" t="s">
        <v>159</v>
      </c>
      <c r="F986" s="4" t="s">
        <v>2049</v>
      </c>
      <c r="G986" s="4" t="s">
        <v>289</v>
      </c>
      <c r="H986" s="6" t="s">
        <v>272</v>
      </c>
      <c r="I986" s="5" t="s">
        <v>305</v>
      </c>
      <c r="J986" s="5" t="s">
        <v>852</v>
      </c>
      <c r="K986" s="5" t="s">
        <v>851</v>
      </c>
    </row>
    <row r="987" spans="2:11" ht="15.75" hidden="1" customHeight="1" x14ac:dyDescent="0.2">
      <c r="B987" s="4" t="s">
        <v>1435</v>
      </c>
      <c r="C987" s="4" t="s">
        <v>1473</v>
      </c>
      <c r="D987" s="4" t="s">
        <v>94</v>
      </c>
      <c r="E987" s="4" t="s">
        <v>159</v>
      </c>
      <c r="F987" s="4" t="s">
        <v>2048</v>
      </c>
      <c r="G987" s="19" t="str">
        <f>HYPERLINK("https://timesofindia.indiatimes.com/city/jaipur/jaisalmer-to-host-a-horse-race-on-nov-1/articleshow/66452225.cms","News")</f>
        <v>News</v>
      </c>
      <c r="H987" s="6" t="s">
        <v>3</v>
      </c>
      <c r="I987" s="5" t="s">
        <v>305</v>
      </c>
      <c r="J987" s="5" t="s">
        <v>2047</v>
      </c>
      <c r="K987" s="5" t="s">
        <v>1430</v>
      </c>
    </row>
    <row r="988" spans="2:11" ht="15.75" hidden="1" customHeight="1" x14ac:dyDescent="0.2">
      <c r="B988" s="4" t="s">
        <v>1435</v>
      </c>
      <c r="C988" s="4" t="s">
        <v>2046</v>
      </c>
      <c r="D988" s="4" t="s">
        <v>267</v>
      </c>
      <c r="E988" s="4" t="s">
        <v>159</v>
      </c>
      <c r="F988" s="4" t="s">
        <v>2045</v>
      </c>
      <c r="G988" s="19" t="str">
        <f>HYPERLINK("https://www.youtube.com/watch?v=-U2TIQOI_xA","Youtube")</f>
        <v>Youtube</v>
      </c>
      <c r="H988" s="6" t="s">
        <v>3</v>
      </c>
      <c r="I988" s="5" t="s">
        <v>305</v>
      </c>
      <c r="J988" s="5" t="s">
        <v>1700</v>
      </c>
      <c r="K988" s="5" t="s">
        <v>34</v>
      </c>
    </row>
    <row r="989" spans="2:11" ht="15.75" hidden="1" customHeight="1" x14ac:dyDescent="0.2">
      <c r="B989" s="4" t="s">
        <v>1435</v>
      </c>
      <c r="C989" s="4" t="s">
        <v>1589</v>
      </c>
      <c r="D989" s="4" t="s">
        <v>267</v>
      </c>
      <c r="E989" s="4" t="s">
        <v>159</v>
      </c>
      <c r="F989" s="4" t="s">
        <v>2044</v>
      </c>
      <c r="G989" s="19" t="str">
        <f>HYPERLINK("https://www.youtube.com/watch?v=tdng9vMq72E","Youtube")</f>
        <v>Youtube</v>
      </c>
      <c r="H989" s="6" t="s">
        <v>3</v>
      </c>
      <c r="I989" s="5" t="s">
        <v>305</v>
      </c>
      <c r="J989" s="5" t="s">
        <v>1700</v>
      </c>
      <c r="K989" s="5" t="s">
        <v>1874</v>
      </c>
    </row>
    <row r="990" spans="2:11" ht="15.75" hidden="1" customHeight="1" x14ac:dyDescent="0.2">
      <c r="B990" s="4" t="s">
        <v>1435</v>
      </c>
      <c r="C990" s="4" t="s">
        <v>2043</v>
      </c>
      <c r="D990" s="4" t="s">
        <v>267</v>
      </c>
      <c r="E990" s="4" t="s">
        <v>159</v>
      </c>
      <c r="F990" s="4" t="s">
        <v>2042</v>
      </c>
      <c r="G990" s="19" t="str">
        <f>HYPERLINK("https://www.youtube.com/watch?v=RDtoPqIyo0I","Youtube")</f>
        <v>Youtube</v>
      </c>
      <c r="H990" s="6" t="s">
        <v>3</v>
      </c>
      <c r="I990" s="5" t="s">
        <v>305</v>
      </c>
      <c r="J990" s="5" t="s">
        <v>1700</v>
      </c>
      <c r="K990" s="5" t="s">
        <v>446</v>
      </c>
    </row>
    <row r="991" spans="2:11" ht="15.75" hidden="1" customHeight="1" x14ac:dyDescent="0.2">
      <c r="B991" s="4" t="s">
        <v>1435</v>
      </c>
      <c r="C991" s="4" t="s">
        <v>2041</v>
      </c>
      <c r="D991" s="4" t="s">
        <v>47</v>
      </c>
      <c r="E991" s="5" t="s">
        <v>17</v>
      </c>
      <c r="F991" s="4" t="s">
        <v>2040</v>
      </c>
      <c r="G991" s="19" t="str">
        <f>HYPERLINK("https://economictimes.indiatimes.com/news/politics-and-nation/despite-sc-ban-buffalo-fight-held-in-assam/articleshow/62511603.cms?from=mdr","News")</f>
        <v>News</v>
      </c>
      <c r="H991" s="6" t="s">
        <v>3</v>
      </c>
      <c r="I991" s="5" t="s">
        <v>305</v>
      </c>
      <c r="J991" s="5" t="s">
        <v>1700</v>
      </c>
      <c r="K991" s="5" t="s">
        <v>367</v>
      </c>
    </row>
    <row r="992" spans="2:11" ht="15.75" hidden="1" customHeight="1" x14ac:dyDescent="0.2">
      <c r="B992" s="4" t="s">
        <v>1435</v>
      </c>
      <c r="C992" s="4" t="s">
        <v>1589</v>
      </c>
      <c r="D992" s="4" t="s">
        <v>267</v>
      </c>
      <c r="E992" s="5" t="s">
        <v>5</v>
      </c>
      <c r="F992" s="4" t="s">
        <v>2039</v>
      </c>
      <c r="G992" s="19" t="str">
        <f>HYPERLINK("https://www.thenewsminute.com/article/inside-cockfight-colosseum-andhra-banned-blood-sport-multi-crore-industry-74751","News")</f>
        <v>News</v>
      </c>
      <c r="H992" s="6" t="s">
        <v>3</v>
      </c>
      <c r="I992" s="5" t="s">
        <v>305</v>
      </c>
      <c r="J992" s="5" t="s">
        <v>1700</v>
      </c>
      <c r="K992" s="5" t="s">
        <v>1518</v>
      </c>
    </row>
    <row r="993" spans="2:11" ht="15.75" hidden="1" customHeight="1" x14ac:dyDescent="0.2">
      <c r="B993" s="4" t="s">
        <v>1435</v>
      </c>
      <c r="C993" s="4" t="s">
        <v>1929</v>
      </c>
      <c r="D993" s="4" t="s">
        <v>267</v>
      </c>
      <c r="E993" s="5" t="s">
        <v>159</v>
      </c>
      <c r="F993" s="4" t="s">
        <v>2038</v>
      </c>
      <c r="G993" s="19" t="str">
        <f>HYPERLINK("https://www.deccanchronicle.com/nation/current-affairs/150118/vijayawada-cockfights-continue-despite-police-check.html","News")</f>
        <v>News</v>
      </c>
      <c r="H993" s="6" t="s">
        <v>3</v>
      </c>
      <c r="I993" s="5" t="s">
        <v>305</v>
      </c>
      <c r="J993" s="5" t="s">
        <v>1700</v>
      </c>
      <c r="K993" s="5" t="s">
        <v>1518</v>
      </c>
    </row>
    <row r="994" spans="2:11" ht="15.75" hidden="1" customHeight="1" x14ac:dyDescent="0.2">
      <c r="B994" s="4" t="s">
        <v>1435</v>
      </c>
      <c r="C994" s="4" t="s">
        <v>2037</v>
      </c>
      <c r="D994" s="4" t="s">
        <v>77</v>
      </c>
      <c r="E994" s="5" t="s">
        <v>5</v>
      </c>
      <c r="F994" s="4" t="s">
        <v>2036</v>
      </c>
      <c r="G994" s="19" t="str">
        <f>HYPERLINK("https://www.indiatoday.in/india/story/tamil-nadu-19-year-old-spectator-gored-to-death-by-bull-during-jallikattu-in-madurai-1145718-2018-01-15","News")</f>
        <v>News</v>
      </c>
      <c r="H994" s="6" t="s">
        <v>3</v>
      </c>
      <c r="I994" s="5" t="s">
        <v>305</v>
      </c>
      <c r="J994" s="5" t="s">
        <v>1700</v>
      </c>
      <c r="K994" s="5" t="s">
        <v>34</v>
      </c>
    </row>
    <row r="995" spans="2:11" ht="15.75" hidden="1" customHeight="1" x14ac:dyDescent="0.2">
      <c r="B995" s="4" t="s">
        <v>1435</v>
      </c>
      <c r="C995" s="4" t="s">
        <v>2035</v>
      </c>
      <c r="D995" s="4" t="s">
        <v>77</v>
      </c>
      <c r="E995" s="5" t="s">
        <v>159</v>
      </c>
      <c r="F995" s="4" t="s">
        <v>2034</v>
      </c>
      <c r="G995" s="19" t="str">
        <f>HYPERLINK("http://www.thehindu.com/news/national/tamil-nadu/two-spectators-killed-as-jallikattu-bulls-were-let-loose-in-siravayal/article22450433.ece","News")</f>
        <v>News</v>
      </c>
      <c r="H995" s="6" t="s">
        <v>3</v>
      </c>
      <c r="I995" s="5" t="s">
        <v>305</v>
      </c>
      <c r="J995" s="5" t="s">
        <v>1700</v>
      </c>
      <c r="K995" s="5" t="s">
        <v>34</v>
      </c>
    </row>
    <row r="996" spans="2:11" ht="15.75" hidden="1" customHeight="1" x14ac:dyDescent="0.2">
      <c r="B996" s="4" t="s">
        <v>1435</v>
      </c>
      <c r="C996" s="4" t="s">
        <v>2033</v>
      </c>
      <c r="D996" s="4" t="s">
        <v>77</v>
      </c>
      <c r="E996" s="5" t="s">
        <v>159</v>
      </c>
      <c r="F996" s="4" t="s">
        <v>2032</v>
      </c>
      <c r="G996" s="19" t="str">
        <f>HYPERLINK("http://www.thehindu.com/news/national/tamil-nadu/spectator-gored-to-death-by-raging-bull-in-pudukottai-jallikattu-event/article22455481.ece?homepage=true","News")</f>
        <v>News</v>
      </c>
      <c r="H996" s="6" t="s">
        <v>3</v>
      </c>
      <c r="I996" s="5" t="s">
        <v>305</v>
      </c>
      <c r="J996" s="5" t="s">
        <v>1700</v>
      </c>
      <c r="K996" s="5" t="s">
        <v>34</v>
      </c>
    </row>
    <row r="997" spans="2:11" ht="15.75" hidden="1" customHeight="1" x14ac:dyDescent="0.2">
      <c r="B997" s="4" t="s">
        <v>1435</v>
      </c>
      <c r="C997" s="4" t="s">
        <v>2031</v>
      </c>
      <c r="D997" s="4" t="s">
        <v>267</v>
      </c>
      <c r="E997" s="5" t="s">
        <v>159</v>
      </c>
      <c r="F997" s="4" t="s">
        <v>2030</v>
      </c>
      <c r="G997" s="19" t="str">
        <f>HYPERLINK("https://www.youtube.com/watch?v=LKpkngkMeVU","Youtube")</f>
        <v>Youtube</v>
      </c>
      <c r="H997" s="6" t="s">
        <v>3</v>
      </c>
      <c r="I997" s="5" t="s">
        <v>305</v>
      </c>
      <c r="J997" s="5" t="s">
        <v>1700</v>
      </c>
      <c r="K997" s="5" t="s">
        <v>34</v>
      </c>
    </row>
    <row r="998" spans="2:11" ht="15.75" hidden="1" customHeight="1" x14ac:dyDescent="0.2">
      <c r="B998" s="4" t="s">
        <v>1435</v>
      </c>
      <c r="C998" s="4" t="s">
        <v>130</v>
      </c>
      <c r="D998" s="4" t="s">
        <v>77</v>
      </c>
      <c r="E998" s="5" t="s">
        <v>159</v>
      </c>
      <c r="F998" s="4" t="s">
        <v>2029</v>
      </c>
      <c r="G998" s="19" t="str">
        <f>HYPERLINK("https://timesofindia.indiatimes.com/videos/city/chennai/chennai-traditional-bullock-cart-race-held-on-kaanum-pongal/videoshow/62545184.cms","News")</f>
        <v>News</v>
      </c>
      <c r="H998" s="6" t="s">
        <v>3</v>
      </c>
      <c r="I998" s="5" t="s">
        <v>305</v>
      </c>
      <c r="J998" s="5" t="s">
        <v>1700</v>
      </c>
      <c r="K998" s="5" t="s">
        <v>34</v>
      </c>
    </row>
    <row r="999" spans="2:11" ht="15.75" hidden="1" customHeight="1" x14ac:dyDescent="0.2">
      <c r="B999" s="4" t="s">
        <v>1435</v>
      </c>
      <c r="C999" s="4" t="s">
        <v>98</v>
      </c>
      <c r="D999" s="4" t="s">
        <v>97</v>
      </c>
      <c r="E999" s="5" t="s">
        <v>159</v>
      </c>
      <c r="F999" s="4" t="s">
        <v>2028</v>
      </c>
      <c r="G999" s="19" t="str">
        <f>HYPERLINK("https://www.newindianexpress.com/states/odisha/2018/jan/19/for-bjd-its-bullock-cart-time-1758152.html","News")</f>
        <v>News</v>
      </c>
      <c r="H999" s="6" t="s">
        <v>3</v>
      </c>
      <c r="I999" s="5" t="s">
        <v>305</v>
      </c>
      <c r="J999" s="5" t="s">
        <v>1480</v>
      </c>
      <c r="K999" s="5" t="s">
        <v>34</v>
      </c>
    </row>
    <row r="1000" spans="2:11" ht="15.75" hidden="1" customHeight="1" x14ac:dyDescent="0.2">
      <c r="B1000" s="4" t="s">
        <v>1435</v>
      </c>
      <c r="C1000" s="4" t="s">
        <v>2027</v>
      </c>
      <c r="D1000" s="4" t="s">
        <v>236</v>
      </c>
      <c r="E1000" s="5" t="s">
        <v>159</v>
      </c>
      <c r="F1000" s="4" t="s">
        <v>2026</v>
      </c>
      <c r="G1000" s="19" t="str">
        <f>HYPERLINK("http://englishnews.thegoan.net/story.php?id=40089","News")</f>
        <v>News</v>
      </c>
      <c r="H1000" s="6" t="s">
        <v>3</v>
      </c>
      <c r="I1000" s="5" t="s">
        <v>305</v>
      </c>
      <c r="J1000" s="5" t="s">
        <v>1700</v>
      </c>
      <c r="K1000" s="5" t="s">
        <v>34</v>
      </c>
    </row>
    <row r="1001" spans="2:11" ht="15.75" hidden="1" customHeight="1" x14ac:dyDescent="0.2">
      <c r="B1001" s="4" t="s">
        <v>1435</v>
      </c>
      <c r="C1001" s="6"/>
      <c r="D1001" s="4" t="s">
        <v>150</v>
      </c>
      <c r="E1001" s="5" t="s">
        <v>159</v>
      </c>
      <c r="F1001" s="4" t="s">
        <v>2025</v>
      </c>
      <c r="G1001" s="19" t="str">
        <f>HYPERLINK("https://www.youtube.com/watch?v=dMXrJbYH2mA","Youtube")</f>
        <v>Youtube</v>
      </c>
      <c r="H1001" s="6" t="s">
        <v>3</v>
      </c>
      <c r="I1001" s="5" t="s">
        <v>305</v>
      </c>
      <c r="J1001" s="5" t="s">
        <v>92</v>
      </c>
      <c r="K1001" s="5" t="s">
        <v>1449</v>
      </c>
    </row>
    <row r="1002" spans="2:11" ht="15.75" hidden="1" customHeight="1" x14ac:dyDescent="0.2">
      <c r="B1002" s="4" t="s">
        <v>1435</v>
      </c>
      <c r="C1002" s="6" t="s">
        <v>1828</v>
      </c>
      <c r="D1002" s="6" t="s">
        <v>267</v>
      </c>
      <c r="E1002" s="5" t="s">
        <v>159</v>
      </c>
      <c r="F1002" s="4" t="s">
        <v>2024</v>
      </c>
      <c r="G1002" s="19" t="str">
        <f>HYPERLINK("https://www.youtube.com/watch?v=CnEx10yysks","Youtube (News)")</f>
        <v>Youtube (News)</v>
      </c>
      <c r="H1002" s="6" t="s">
        <v>3</v>
      </c>
      <c r="I1002" s="5" t="s">
        <v>305</v>
      </c>
      <c r="J1002" s="5" t="s">
        <v>1700</v>
      </c>
      <c r="K1002" s="5" t="s">
        <v>639</v>
      </c>
    </row>
    <row r="1003" spans="2:11" ht="15.75" hidden="1" customHeight="1" x14ac:dyDescent="0.2">
      <c r="B1003" s="4" t="s">
        <v>1435</v>
      </c>
      <c r="C1003" s="4" t="s">
        <v>111</v>
      </c>
      <c r="D1003" s="4" t="s">
        <v>24</v>
      </c>
      <c r="E1003" s="5" t="s">
        <v>55</v>
      </c>
      <c r="F1003" s="4" t="s">
        <v>2023</v>
      </c>
      <c r="G1003" s="19" t="s">
        <v>447</v>
      </c>
      <c r="H1003" s="6" t="s">
        <v>272</v>
      </c>
      <c r="I1003" s="5" t="s">
        <v>305</v>
      </c>
      <c r="J1003" s="5" t="s">
        <v>1700</v>
      </c>
      <c r="K1003" s="5" t="s">
        <v>1518</v>
      </c>
    </row>
    <row r="1004" spans="2:11" ht="15.75" hidden="1" customHeight="1" x14ac:dyDescent="0.2">
      <c r="B1004" s="4" t="s">
        <v>1435</v>
      </c>
      <c r="C1004" s="6"/>
      <c r="D1004" s="6"/>
      <c r="E1004" s="5" t="s">
        <v>159</v>
      </c>
      <c r="F1004" s="4" t="s">
        <v>2022</v>
      </c>
      <c r="G1004" s="19" t="str">
        <f>HYPERLINK("https://www.youtube.com/watch?v=Kh4GjsZ9LVY","Youtube (Animal Aid Unlimited)")</f>
        <v>Youtube (Animal Aid Unlimited)</v>
      </c>
      <c r="H1004" s="6" t="s">
        <v>272</v>
      </c>
      <c r="I1004" s="5" t="s">
        <v>305</v>
      </c>
      <c r="J1004" s="5" t="s">
        <v>1485</v>
      </c>
      <c r="K1004" s="5" t="s">
        <v>34</v>
      </c>
    </row>
    <row r="1005" spans="2:11" ht="15.75" hidden="1" customHeight="1" x14ac:dyDescent="0.2">
      <c r="B1005" s="4" t="s">
        <v>1435</v>
      </c>
      <c r="C1005" s="4" t="s">
        <v>2021</v>
      </c>
      <c r="D1005" s="4" t="s">
        <v>97</v>
      </c>
      <c r="E1005" s="5" t="s">
        <v>159</v>
      </c>
      <c r="F1005" s="4" t="s">
        <v>2020</v>
      </c>
      <c r="G1005" s="19" t="str">
        <f>HYPERLINK("https://www.newindianexpress.com/states/odisha/2018/feb/19/congress-rides-bullock-cart-to-reach-out-to-voters-in-bijepur-1775489.html","News")</f>
        <v>News</v>
      </c>
      <c r="H1005" s="6" t="s">
        <v>3</v>
      </c>
      <c r="I1005" s="5" t="s">
        <v>305</v>
      </c>
      <c r="J1005" s="5" t="s">
        <v>1480</v>
      </c>
      <c r="K1005" s="5" t="s">
        <v>34</v>
      </c>
    </row>
    <row r="1006" spans="2:11" ht="15.75" hidden="1" customHeight="1" x14ac:dyDescent="0.2">
      <c r="B1006" s="4" t="s">
        <v>1435</v>
      </c>
      <c r="C1006" s="4" t="s">
        <v>228</v>
      </c>
      <c r="D1006" s="4" t="s">
        <v>36</v>
      </c>
      <c r="E1006" s="5" t="s">
        <v>159</v>
      </c>
      <c r="F1006" s="4" t="s">
        <v>2019</v>
      </c>
      <c r="G1006" s="19" t="s">
        <v>944</v>
      </c>
      <c r="H1006" s="6" t="s">
        <v>272</v>
      </c>
      <c r="I1006" s="5" t="s">
        <v>305</v>
      </c>
      <c r="J1006" s="5" t="s">
        <v>1485</v>
      </c>
      <c r="K1006" s="5" t="s">
        <v>367</v>
      </c>
    </row>
    <row r="1007" spans="2:11" ht="15.75" hidden="1" customHeight="1" x14ac:dyDescent="0.2">
      <c r="B1007" s="4" t="s">
        <v>1435</v>
      </c>
      <c r="C1007" s="4" t="s">
        <v>228</v>
      </c>
      <c r="D1007" s="4" t="s">
        <v>36</v>
      </c>
      <c r="E1007" s="5" t="s">
        <v>159</v>
      </c>
      <c r="F1007" s="4" t="s">
        <v>2018</v>
      </c>
      <c r="G1007" s="19" t="s">
        <v>944</v>
      </c>
      <c r="H1007" s="6" t="s">
        <v>272</v>
      </c>
      <c r="I1007" s="5" t="s">
        <v>305</v>
      </c>
      <c r="J1007" s="5" t="s">
        <v>1485</v>
      </c>
      <c r="K1007" s="5" t="s">
        <v>108</v>
      </c>
    </row>
    <row r="1008" spans="2:11" ht="15.75" hidden="1" customHeight="1" x14ac:dyDescent="0.2">
      <c r="B1008" s="4" t="s">
        <v>1435</v>
      </c>
      <c r="C1008" s="4" t="s">
        <v>271</v>
      </c>
      <c r="D1008" s="4" t="s">
        <v>94</v>
      </c>
      <c r="E1008" s="5" t="s">
        <v>5</v>
      </c>
      <c r="F1008" s="4" t="s">
        <v>2017</v>
      </c>
      <c r="G1008" s="19" t="s">
        <v>272</v>
      </c>
      <c r="H1008" s="6">
        <v>19</v>
      </c>
      <c r="I1008" s="5" t="s">
        <v>305</v>
      </c>
      <c r="J1008" s="5" t="s">
        <v>1788</v>
      </c>
      <c r="K1008" s="5" t="s">
        <v>34</v>
      </c>
    </row>
    <row r="1009" spans="2:11" ht="15.75" hidden="1" customHeight="1" x14ac:dyDescent="0.2">
      <c r="B1009" s="4" t="s">
        <v>1435</v>
      </c>
      <c r="C1009" s="4" t="s">
        <v>2016</v>
      </c>
      <c r="D1009" s="4" t="s">
        <v>13</v>
      </c>
      <c r="E1009" s="5" t="s">
        <v>159</v>
      </c>
      <c r="F1009" s="4" t="s">
        <v>2015</v>
      </c>
      <c r="G1009" s="19" t="s">
        <v>1493</v>
      </c>
      <c r="H1009" s="6" t="s">
        <v>3</v>
      </c>
      <c r="I1009" s="5" t="s">
        <v>305</v>
      </c>
      <c r="J1009" s="5" t="s">
        <v>15</v>
      </c>
      <c r="K1009" s="5" t="s">
        <v>1430</v>
      </c>
    </row>
    <row r="1010" spans="2:11" ht="15.75" hidden="1" customHeight="1" x14ac:dyDescent="0.2">
      <c r="B1010" s="4" t="s">
        <v>1435</v>
      </c>
      <c r="C1010" s="4" t="s">
        <v>1473</v>
      </c>
      <c r="D1010" s="4" t="s">
        <v>94</v>
      </c>
      <c r="E1010" s="5" t="s">
        <v>159</v>
      </c>
      <c r="F1010" s="4" t="s">
        <v>2014</v>
      </c>
      <c r="G1010" s="19" t="str">
        <f>HYPERLINK("http://zevandsam.com/blog/a-terrible-experience-in-the-desert-a-recap-of-our-desert-safari-and-some-thoughts-on-animal-based-tourism","Blog")</f>
        <v>Blog</v>
      </c>
      <c r="H1010" s="6" t="s">
        <v>272</v>
      </c>
      <c r="I1010" s="5" t="s">
        <v>305</v>
      </c>
      <c r="J1010" s="5" t="s">
        <v>1788</v>
      </c>
      <c r="K1010" s="5" t="s">
        <v>840</v>
      </c>
    </row>
    <row r="1011" spans="2:11" ht="15.75" hidden="1" customHeight="1" x14ac:dyDescent="0.2">
      <c r="B1011" s="4" t="s">
        <v>1435</v>
      </c>
      <c r="C1011" s="4" t="s">
        <v>2013</v>
      </c>
      <c r="D1011" s="4" t="s">
        <v>267</v>
      </c>
      <c r="E1011" s="5" t="s">
        <v>159</v>
      </c>
      <c r="F1011" s="4" t="s">
        <v>2012</v>
      </c>
      <c r="G1011" s="19" t="str">
        <f>HYPERLINK("https://www.newsflare.com/video/191246/animals/illegal-pig-fights-held-to-celebrate-indian-festival","News")</f>
        <v>News</v>
      </c>
      <c r="H1011" s="6" t="s">
        <v>3</v>
      </c>
      <c r="I1011" s="5" t="s">
        <v>305</v>
      </c>
      <c r="J1011" s="5" t="s">
        <v>1700</v>
      </c>
      <c r="K1011" s="5" t="s">
        <v>446</v>
      </c>
    </row>
    <row r="1012" spans="2:11" ht="15.75" hidden="1" customHeight="1" x14ac:dyDescent="0.2">
      <c r="B1012" s="4" t="s">
        <v>1435</v>
      </c>
      <c r="C1012" s="4" t="s">
        <v>299</v>
      </c>
      <c r="D1012" s="4" t="s">
        <v>28</v>
      </c>
      <c r="E1012" s="5" t="s">
        <v>5</v>
      </c>
      <c r="F1012" s="4" t="s">
        <v>2011</v>
      </c>
      <c r="G1012" s="19" t="s">
        <v>11</v>
      </c>
      <c r="H1012" s="6" t="s">
        <v>11</v>
      </c>
      <c r="I1012" s="5" t="s">
        <v>305</v>
      </c>
      <c r="J1012" s="5" t="s">
        <v>1915</v>
      </c>
      <c r="K1012" s="5" t="s">
        <v>2010</v>
      </c>
    </row>
    <row r="1013" spans="2:11" ht="15.75" hidden="1" customHeight="1" x14ac:dyDescent="0.2">
      <c r="B1013" s="4" t="s">
        <v>1435</v>
      </c>
      <c r="C1013" s="6" t="s">
        <v>95</v>
      </c>
      <c r="D1013" s="6" t="s">
        <v>94</v>
      </c>
      <c r="E1013" s="5" t="s">
        <v>17</v>
      </c>
      <c r="F1013" s="4" t="s">
        <v>2009</v>
      </c>
      <c r="G1013" s="19" t="s">
        <v>1467</v>
      </c>
      <c r="H1013" s="6" t="s">
        <v>11</v>
      </c>
      <c r="I1013" s="5" t="s">
        <v>305</v>
      </c>
      <c r="J1013" s="5" t="s">
        <v>92</v>
      </c>
      <c r="K1013" s="5" t="s">
        <v>639</v>
      </c>
    </row>
    <row r="1014" spans="2:11" ht="15.75" hidden="1" customHeight="1" x14ac:dyDescent="0.2">
      <c r="B1014" s="4" t="s">
        <v>1435</v>
      </c>
      <c r="C1014" s="6" t="s">
        <v>2008</v>
      </c>
      <c r="D1014" s="4" t="s">
        <v>18</v>
      </c>
      <c r="E1014" s="5" t="s">
        <v>17</v>
      </c>
      <c r="F1014" s="4" t="s">
        <v>2007</v>
      </c>
      <c r="G1014" s="19" t="str">
        <f>HYPERLINK("https://www.facebook.com/groups/sgacc/permalink/1709764152422808/","Facebook")</f>
        <v>Facebook</v>
      </c>
      <c r="H1014" s="6" t="s">
        <v>11</v>
      </c>
      <c r="I1014" s="5" t="s">
        <v>305</v>
      </c>
      <c r="J1014" s="5" t="s">
        <v>1700</v>
      </c>
      <c r="K1014" s="5" t="s">
        <v>1430</v>
      </c>
    </row>
    <row r="1015" spans="2:11" ht="15.75" hidden="1" customHeight="1" x14ac:dyDescent="0.2">
      <c r="B1015" s="4" t="s">
        <v>1435</v>
      </c>
      <c r="C1015" s="4" t="s">
        <v>43</v>
      </c>
      <c r="D1015" s="4" t="s">
        <v>42</v>
      </c>
      <c r="E1015" s="5" t="s">
        <v>159</v>
      </c>
      <c r="F1015" s="4" t="s">
        <v>2006</v>
      </c>
      <c r="G1015" s="19" t="str">
        <f>HYPERLINK("https://www.hindustantimes.com/lucknow/donkey-beaten-to-death-after-it-bites-six-people-in-varanasi/story-9WhTZoMW0IrAcCu9GwifyJ.html","News")</f>
        <v>News</v>
      </c>
      <c r="H1015" s="6" t="s">
        <v>3</v>
      </c>
      <c r="I1015" s="5" t="s">
        <v>305</v>
      </c>
      <c r="J1015" s="5" t="s">
        <v>15</v>
      </c>
      <c r="K1015" s="5" t="s">
        <v>639</v>
      </c>
    </row>
    <row r="1016" spans="2:11" ht="15.75" hidden="1" customHeight="1" x14ac:dyDescent="0.2">
      <c r="B1016" s="4" t="s">
        <v>1435</v>
      </c>
      <c r="C1016" s="4" t="s">
        <v>271</v>
      </c>
      <c r="D1016" s="4" t="s">
        <v>94</v>
      </c>
      <c r="E1016" s="5" t="s">
        <v>159</v>
      </c>
      <c r="F1016" s="4" t="s">
        <v>2005</v>
      </c>
      <c r="G1016" s="6" t="s">
        <v>272</v>
      </c>
      <c r="H1016" s="6">
        <v>19</v>
      </c>
      <c r="I1016" s="5" t="s">
        <v>305</v>
      </c>
      <c r="J1016" s="5" t="s">
        <v>1439</v>
      </c>
      <c r="K1016" s="5" t="s">
        <v>64</v>
      </c>
    </row>
    <row r="1017" spans="2:11" ht="15.75" hidden="1" customHeight="1" x14ac:dyDescent="0.2">
      <c r="B1017" s="4" t="s">
        <v>1435</v>
      </c>
      <c r="C1017" s="6" t="s">
        <v>95</v>
      </c>
      <c r="D1017" s="6" t="s">
        <v>94</v>
      </c>
      <c r="E1017" s="18" t="s">
        <v>159</v>
      </c>
      <c r="F1017" s="4" t="s">
        <v>2004</v>
      </c>
      <c r="G1017" s="19" t="s">
        <v>11</v>
      </c>
      <c r="H1017" s="6" t="s">
        <v>11</v>
      </c>
      <c r="I1017" s="5" t="s">
        <v>305</v>
      </c>
      <c r="J1017" s="5" t="s">
        <v>1485</v>
      </c>
      <c r="K1017" s="5" t="s">
        <v>34</v>
      </c>
    </row>
    <row r="1018" spans="2:11" ht="15.75" hidden="1" customHeight="1" x14ac:dyDescent="0.2">
      <c r="B1018" s="4" t="s">
        <v>1435</v>
      </c>
      <c r="C1018" s="4" t="s">
        <v>684</v>
      </c>
      <c r="D1018" s="4" t="s">
        <v>13</v>
      </c>
      <c r="E1018" s="5" t="s">
        <v>159</v>
      </c>
      <c r="F1018" s="4" t="s">
        <v>2003</v>
      </c>
      <c r="G1018" s="14" t="s">
        <v>11</v>
      </c>
      <c r="H1018" s="6" t="s">
        <v>11</v>
      </c>
      <c r="I1018" s="4" t="s">
        <v>305</v>
      </c>
      <c r="J1018" s="5" t="s">
        <v>92</v>
      </c>
      <c r="K1018" s="4" t="s">
        <v>1430</v>
      </c>
    </row>
    <row r="1019" spans="2:11" ht="15.75" hidden="1" customHeight="1" x14ac:dyDescent="0.2">
      <c r="B1019" s="4" t="s">
        <v>1435</v>
      </c>
      <c r="C1019" s="4" t="s">
        <v>2002</v>
      </c>
      <c r="D1019" s="4" t="s">
        <v>13</v>
      </c>
      <c r="E1019" s="5" t="s">
        <v>159</v>
      </c>
      <c r="F1019" s="4" t="s">
        <v>2001</v>
      </c>
      <c r="G1019" s="14" t="s">
        <v>11</v>
      </c>
      <c r="H1019" s="6" t="s">
        <v>11</v>
      </c>
      <c r="I1019" s="5" t="s">
        <v>305</v>
      </c>
      <c r="J1019" s="5" t="s">
        <v>1485</v>
      </c>
      <c r="K1019" s="4" t="s">
        <v>639</v>
      </c>
    </row>
    <row r="1020" spans="2:11" ht="15.75" hidden="1" customHeight="1" x14ac:dyDescent="0.2">
      <c r="B1020" s="4" t="s">
        <v>1435</v>
      </c>
      <c r="C1020" s="6" t="s">
        <v>271</v>
      </c>
      <c r="D1020" s="6" t="s">
        <v>94</v>
      </c>
      <c r="E1020" s="18" t="s">
        <v>159</v>
      </c>
      <c r="F1020" s="4" t="s">
        <v>2000</v>
      </c>
      <c r="G1020" s="19" t="s">
        <v>11</v>
      </c>
      <c r="H1020" s="6" t="s">
        <v>11</v>
      </c>
      <c r="I1020" s="5" t="s">
        <v>305</v>
      </c>
      <c r="J1020" s="5" t="s">
        <v>1485</v>
      </c>
      <c r="K1020" s="5" t="s">
        <v>34</v>
      </c>
    </row>
    <row r="1021" spans="2:11" ht="15.75" hidden="1" customHeight="1" x14ac:dyDescent="0.2">
      <c r="B1021" s="4" t="s">
        <v>1435</v>
      </c>
      <c r="C1021" s="4" t="s">
        <v>382</v>
      </c>
      <c r="D1021" s="4" t="s">
        <v>77</v>
      </c>
      <c r="E1021" s="5" t="s">
        <v>159</v>
      </c>
      <c r="F1021" s="4" t="s">
        <v>1999</v>
      </c>
      <c r="G1021" s="19" t="str">
        <f>HYPERLINK("https://www.facebook.com/Pfacbeunit2/videos/168705303839407/?hc_ref=ARSK9X35XWf9ZkDggm7h12ivkMvtqHoY6-0fFJvbbLX6EQMAxP3SPzt4xbcdLHiMpKc&amp;fref=gs&amp;dti=174402639236910&amp;hc_location=group","Facebook")</f>
        <v>Facebook</v>
      </c>
      <c r="H1021" s="6" t="s">
        <v>11</v>
      </c>
      <c r="I1021" s="5" t="s">
        <v>305</v>
      </c>
      <c r="J1021" s="5" t="s">
        <v>1485</v>
      </c>
      <c r="K1021" s="5" t="s">
        <v>639</v>
      </c>
    </row>
    <row r="1022" spans="2:11" ht="15.75" hidden="1" customHeight="1" x14ac:dyDescent="0.2">
      <c r="B1022" s="4" t="s">
        <v>1435</v>
      </c>
      <c r="C1022" s="6" t="s">
        <v>271</v>
      </c>
      <c r="D1022" s="6" t="s">
        <v>94</v>
      </c>
      <c r="E1022" s="5" t="s">
        <v>159</v>
      </c>
      <c r="F1022" s="4" t="s">
        <v>1998</v>
      </c>
      <c r="G1022" s="19" t="str">
        <f>HYPERLINK("https://m.facebook.com/story.php?story_fbid=1947379825334132&amp;id=336779206394210","Facebook")</f>
        <v>Facebook</v>
      </c>
      <c r="H1022" s="6" t="s">
        <v>11</v>
      </c>
      <c r="I1022" s="5" t="s">
        <v>305</v>
      </c>
      <c r="J1022" s="5" t="s">
        <v>92</v>
      </c>
      <c r="K1022" s="5" t="s">
        <v>1430</v>
      </c>
    </row>
    <row r="1023" spans="2:11" ht="15.75" hidden="1" customHeight="1" x14ac:dyDescent="0.2">
      <c r="B1023" s="4" t="s">
        <v>1435</v>
      </c>
      <c r="C1023" s="4" t="s">
        <v>228</v>
      </c>
      <c r="D1023" s="4" t="s">
        <v>36</v>
      </c>
      <c r="E1023" s="5" t="s">
        <v>159</v>
      </c>
      <c r="F1023" s="4" t="s">
        <v>1997</v>
      </c>
      <c r="G1023" s="19" t="s">
        <v>944</v>
      </c>
      <c r="H1023" s="6" t="s">
        <v>272</v>
      </c>
      <c r="I1023" s="5" t="s">
        <v>305</v>
      </c>
      <c r="J1023" s="5" t="s">
        <v>1485</v>
      </c>
      <c r="K1023" s="5" t="s">
        <v>1996</v>
      </c>
    </row>
    <row r="1024" spans="2:11" ht="15.75" hidden="1" customHeight="1" x14ac:dyDescent="0.2">
      <c r="B1024" s="4" t="s">
        <v>1435</v>
      </c>
      <c r="C1024" s="4" t="s">
        <v>130</v>
      </c>
      <c r="D1024" s="4" t="s">
        <v>77</v>
      </c>
      <c r="E1024" s="5" t="s">
        <v>159</v>
      </c>
      <c r="F1024" s="4" t="s">
        <v>1995</v>
      </c>
      <c r="G1024" s="19" t="str">
        <f>HYPERLINK("https://www.facebook.com/groups/thepound/permalink/2060938603916628/","Facebook")</f>
        <v>Facebook</v>
      </c>
      <c r="H1024" s="6" t="s">
        <v>11</v>
      </c>
      <c r="I1024" s="5" t="s">
        <v>305</v>
      </c>
      <c r="J1024" s="5" t="s">
        <v>1439</v>
      </c>
      <c r="K1024" s="5" t="s">
        <v>19</v>
      </c>
    </row>
    <row r="1025" spans="2:11" ht="15.75" hidden="1" customHeight="1" x14ac:dyDescent="0.2">
      <c r="B1025" s="4" t="s">
        <v>1435</v>
      </c>
      <c r="C1025" s="6" t="s">
        <v>1994</v>
      </c>
      <c r="D1025" s="4" t="s">
        <v>42</v>
      </c>
      <c r="E1025" s="5" t="s">
        <v>159</v>
      </c>
      <c r="F1025" s="4" t="s">
        <v>1993</v>
      </c>
      <c r="G1025" s="19" t="str">
        <f>HYPERLINK("https://www.youtube.com/watch?v=kt1fZzo0qlM","Youtube")</f>
        <v>Youtube</v>
      </c>
      <c r="H1025" s="6" t="s">
        <v>3</v>
      </c>
      <c r="I1025" s="5" t="s">
        <v>305</v>
      </c>
      <c r="J1025" s="5" t="s">
        <v>1788</v>
      </c>
      <c r="K1025" s="5" t="s">
        <v>1430</v>
      </c>
    </row>
    <row r="1026" spans="2:11" ht="15.75" hidden="1" customHeight="1" x14ac:dyDescent="0.2">
      <c r="B1026" s="4" t="s">
        <v>1435</v>
      </c>
      <c r="C1026" s="4" t="s">
        <v>271</v>
      </c>
      <c r="D1026" s="4" t="s">
        <v>94</v>
      </c>
      <c r="E1026" s="4" t="s">
        <v>17</v>
      </c>
      <c r="F1026" s="4" t="s">
        <v>1992</v>
      </c>
      <c r="G1026" s="14" t="s">
        <v>11</v>
      </c>
      <c r="H1026" s="6" t="s">
        <v>11</v>
      </c>
      <c r="I1026" s="5" t="s">
        <v>305</v>
      </c>
      <c r="J1026" s="5" t="s">
        <v>1788</v>
      </c>
      <c r="K1026" s="5" t="s">
        <v>34</v>
      </c>
    </row>
    <row r="1027" spans="2:11" ht="15.75" hidden="1" customHeight="1" x14ac:dyDescent="0.2">
      <c r="B1027" s="4" t="s">
        <v>1435</v>
      </c>
      <c r="C1027" s="4" t="s">
        <v>1991</v>
      </c>
      <c r="D1027" s="4" t="s">
        <v>36</v>
      </c>
      <c r="E1027" s="5" t="s">
        <v>5</v>
      </c>
      <c r="F1027" s="4" t="s">
        <v>1990</v>
      </c>
      <c r="G1027" s="19" t="str">
        <f>HYPERLINK("https://timesofindia.indiatimes.com/videos/city/bengaluru/on-cam-man-dies-during-horse-cart-racing-in-karnataka/videoshow/65681860.cms","News")</f>
        <v>News</v>
      </c>
      <c r="H1027" s="6" t="s">
        <v>3</v>
      </c>
      <c r="I1027" s="5" t="s">
        <v>305</v>
      </c>
      <c r="J1027" s="5" t="s">
        <v>1700</v>
      </c>
      <c r="K1027" s="5" t="s">
        <v>1430</v>
      </c>
    </row>
    <row r="1028" spans="2:11" ht="15.75" hidden="1" customHeight="1" x14ac:dyDescent="0.2">
      <c r="B1028" s="4" t="s">
        <v>1435</v>
      </c>
      <c r="C1028" s="4" t="s">
        <v>1090</v>
      </c>
      <c r="D1028" s="4" t="s">
        <v>66</v>
      </c>
      <c r="E1028" s="5" t="s">
        <v>159</v>
      </c>
      <c r="F1028" s="4" t="s">
        <v>1989</v>
      </c>
      <c r="G1028" s="19" t="str">
        <f>HYPERLINK("https://www.newindianexpress.com/cities/kochi/2018/nov/05/kpms-to-celebrate-125th-anniversary-of-ayyankalis-bullock-cart-ride-1894353.html","News")</f>
        <v>News</v>
      </c>
      <c r="H1028" s="6" t="s">
        <v>3</v>
      </c>
      <c r="I1028" s="5" t="s">
        <v>305</v>
      </c>
      <c r="J1028" s="5" t="s">
        <v>1700</v>
      </c>
      <c r="K1028" s="5" t="s">
        <v>34</v>
      </c>
    </row>
    <row r="1029" spans="2:11" ht="15.75" hidden="1" customHeight="1" x14ac:dyDescent="0.2">
      <c r="B1029" s="4" t="s">
        <v>1435</v>
      </c>
      <c r="C1029" s="6"/>
      <c r="D1029" s="4" t="s">
        <v>77</v>
      </c>
      <c r="E1029" s="5" t="s">
        <v>23</v>
      </c>
      <c r="F1029" s="4" t="s">
        <v>1988</v>
      </c>
      <c r="G1029" s="19" t="str">
        <f>HYPERLINK("https://www.hindustantimes.com/india-news/tamil-nadu-priest-arrested-for-using-cobras-elephant-for-puja/story-uoZedkhG772No1NPXf7xeL.html","News")</f>
        <v>News</v>
      </c>
      <c r="H1029" s="6" t="s">
        <v>3</v>
      </c>
      <c r="I1029" s="5" t="s">
        <v>305</v>
      </c>
      <c r="J1029" s="5" t="s">
        <v>1915</v>
      </c>
      <c r="K1029" s="5" t="s">
        <v>64</v>
      </c>
    </row>
    <row r="1030" spans="2:11" ht="15.75" hidden="1" customHeight="1" x14ac:dyDescent="0.2">
      <c r="B1030" s="4" t="s">
        <v>1435</v>
      </c>
      <c r="C1030" s="6" t="s">
        <v>617</v>
      </c>
      <c r="D1030" s="4" t="s">
        <v>154</v>
      </c>
      <c r="E1030" s="5" t="s">
        <v>23</v>
      </c>
      <c r="F1030" s="4" t="s">
        <v>1987</v>
      </c>
      <c r="G1030" s="19" t="str">
        <f>HYPERLINK("https://www.tribuneindia.com/news/archive/jalandhar/beggars-use-monkeys-as-props-police-initiate-probe-591619","News")</f>
        <v>News</v>
      </c>
      <c r="H1030" s="6" t="s">
        <v>3</v>
      </c>
      <c r="I1030" s="5" t="s">
        <v>305</v>
      </c>
      <c r="J1030" s="5" t="s">
        <v>1439</v>
      </c>
      <c r="K1030" s="5" t="s">
        <v>19</v>
      </c>
    </row>
    <row r="1031" spans="2:11" ht="15.75" hidden="1" customHeight="1" x14ac:dyDescent="0.2">
      <c r="B1031" s="4" t="s">
        <v>1435</v>
      </c>
      <c r="C1031" s="6" t="s">
        <v>1986</v>
      </c>
      <c r="D1031" s="4" t="s">
        <v>877</v>
      </c>
      <c r="E1031" s="5" t="s">
        <v>159</v>
      </c>
      <c r="F1031" s="4" t="s">
        <v>1985</v>
      </c>
      <c r="G1031" s="19" t="str">
        <f>HYPERLINK("https://timesofindia.indiatimes.com/city/jamshedpur/horse-cart-rally-in-steel-city-to-protest-against-fuel-prices/articleshow/64302513.cms","News")</f>
        <v>News</v>
      </c>
      <c r="H1031" s="6" t="s">
        <v>3</v>
      </c>
      <c r="I1031" s="5" t="s">
        <v>305</v>
      </c>
      <c r="J1031" s="5" t="s">
        <v>1480</v>
      </c>
      <c r="K1031" s="5" t="s">
        <v>1430</v>
      </c>
    </row>
    <row r="1032" spans="2:11" ht="15.75" hidden="1" customHeight="1" x14ac:dyDescent="0.2">
      <c r="B1032" s="4" t="s">
        <v>1435</v>
      </c>
      <c r="C1032" s="4" t="s">
        <v>806</v>
      </c>
      <c r="D1032" s="4" t="s">
        <v>236</v>
      </c>
      <c r="E1032" s="5" t="s">
        <v>159</v>
      </c>
      <c r="F1032" s="4" t="s">
        <v>1984</v>
      </c>
      <c r="G1032" s="19" t="str">
        <f>HYPERLINK("http://englishnews.thegoan.net/story.php?id=42988","News")</f>
        <v>News</v>
      </c>
      <c r="H1032" s="6" t="s">
        <v>3</v>
      </c>
      <c r="I1032" s="5" t="s">
        <v>305</v>
      </c>
      <c r="J1032" s="5" t="s">
        <v>1480</v>
      </c>
      <c r="K1032" s="5" t="s">
        <v>1430</v>
      </c>
    </row>
    <row r="1033" spans="2:11" ht="15.75" hidden="1" customHeight="1" x14ac:dyDescent="0.2">
      <c r="B1033" s="4" t="s">
        <v>1435</v>
      </c>
      <c r="C1033" s="4" t="s">
        <v>104</v>
      </c>
      <c r="D1033" s="4" t="s">
        <v>18</v>
      </c>
      <c r="E1033" s="5" t="s">
        <v>55</v>
      </c>
      <c r="F1033" s="4" t="s">
        <v>1983</v>
      </c>
      <c r="G1033" s="19" t="str">
        <f>HYPERLINK("https://www.petaindia.com/media/mumbai-police-seize-two-more-abused-horses-this-time-from-political-rally/","PETA India")</f>
        <v>PETA India</v>
      </c>
      <c r="H1033" s="6" t="s">
        <v>272</v>
      </c>
      <c r="I1033" s="5" t="s">
        <v>305</v>
      </c>
      <c r="J1033" s="5" t="s">
        <v>1480</v>
      </c>
      <c r="K1033" s="5" t="s">
        <v>1430</v>
      </c>
    </row>
    <row r="1034" spans="2:11" ht="15.75" hidden="1" customHeight="1" x14ac:dyDescent="0.2">
      <c r="B1034" s="4" t="s">
        <v>1435</v>
      </c>
      <c r="C1034" s="4" t="s">
        <v>104</v>
      </c>
      <c r="D1034" s="4" t="s">
        <v>18</v>
      </c>
      <c r="E1034" s="5" t="s">
        <v>55</v>
      </c>
      <c r="F1034" s="4" t="s">
        <v>1982</v>
      </c>
      <c r="G1034" s="19" t="str">
        <f>HYPERLINK("https://www.freepressjournal.in/cmcm/nariman-point-two-malnourished-horses-are-rescued-on-peta-tip-off","News")</f>
        <v>News</v>
      </c>
      <c r="H1034" s="6" t="s">
        <v>3</v>
      </c>
      <c r="I1034" s="5" t="s">
        <v>305</v>
      </c>
      <c r="J1034" s="5" t="s">
        <v>92</v>
      </c>
      <c r="K1034" s="5" t="s">
        <v>1430</v>
      </c>
    </row>
    <row r="1035" spans="2:11" ht="15.75" hidden="1" customHeight="1" x14ac:dyDescent="0.2">
      <c r="B1035" s="4" t="s">
        <v>1435</v>
      </c>
      <c r="C1035" s="4" t="s">
        <v>1981</v>
      </c>
      <c r="D1035" s="4" t="s">
        <v>232</v>
      </c>
      <c r="E1035" s="5" t="s">
        <v>159</v>
      </c>
      <c r="F1035" s="4" t="s">
        <v>1980</v>
      </c>
      <c r="G1035" s="19" t="str">
        <f>HYPERLINK("https://www.vice.com/en_in/article/435wkb/come-to-bastar-for-the-weekly-markets-stay-for-the-cockfights","News")</f>
        <v>News</v>
      </c>
      <c r="H1035" s="6" t="s">
        <v>3</v>
      </c>
      <c r="I1035" s="5" t="s">
        <v>305</v>
      </c>
      <c r="J1035" s="5" t="s">
        <v>1700</v>
      </c>
      <c r="K1035" s="5" t="s">
        <v>1518</v>
      </c>
    </row>
    <row r="1036" spans="2:11" ht="15.75" hidden="1" customHeight="1" x14ac:dyDescent="0.2">
      <c r="B1036" s="4" t="s">
        <v>1435</v>
      </c>
      <c r="C1036" s="6"/>
      <c r="D1036" s="6"/>
      <c r="E1036" s="5" t="s">
        <v>159</v>
      </c>
      <c r="F1036" s="4" t="s">
        <v>1979</v>
      </c>
      <c r="G1036" s="19" t="str">
        <f>HYPERLINK("https://www.animalrahat.com/latest-news/five-more-brick-kilns-to-be-mechanized-means-retirement-for-75-donkeys/","Animal Rahat")</f>
        <v>Animal Rahat</v>
      </c>
      <c r="H1036" s="6" t="s">
        <v>1620</v>
      </c>
      <c r="I1036" s="5" t="s">
        <v>305</v>
      </c>
      <c r="J1036" s="5" t="s">
        <v>1788</v>
      </c>
      <c r="K1036" s="5" t="s">
        <v>639</v>
      </c>
    </row>
    <row r="1037" spans="2:11" ht="15.75" hidden="1" customHeight="1" x14ac:dyDescent="0.2">
      <c r="B1037" s="4" t="s">
        <v>1435</v>
      </c>
      <c r="C1037" s="4" t="s">
        <v>1978</v>
      </c>
      <c r="D1037" s="4" t="s">
        <v>236</v>
      </c>
      <c r="E1037" s="5" t="s">
        <v>159</v>
      </c>
      <c r="F1037" s="4" t="s">
        <v>1977</v>
      </c>
      <c r="G1037" s="19" t="str">
        <f>HYPERLINK("https://timesofindia.indiatimes.com/city/goa/bull-brought-from-mum-for-dhirio/articleshow/64471061.cms","News")</f>
        <v>News</v>
      </c>
      <c r="H1037" s="6" t="s">
        <v>3</v>
      </c>
      <c r="I1037" s="5" t="s">
        <v>305</v>
      </c>
      <c r="J1037" s="5" t="s">
        <v>1700</v>
      </c>
      <c r="K1037" s="5" t="s">
        <v>34</v>
      </c>
    </row>
    <row r="1038" spans="2:11" ht="15.75" hidden="1" customHeight="1" x14ac:dyDescent="0.2">
      <c r="B1038" s="4" t="s">
        <v>1435</v>
      </c>
      <c r="C1038" s="4" t="s">
        <v>1976</v>
      </c>
      <c r="D1038" s="4" t="s">
        <v>150</v>
      </c>
      <c r="E1038" s="5" t="s">
        <v>159</v>
      </c>
      <c r="F1038" s="4" t="s">
        <v>1975</v>
      </c>
      <c r="G1038" s="19" t="str">
        <f>HYPERLINK("https://www.tribuneindia.com/news/archive/sick-wounded-horses-used-in-weddings-rescued-in-delhi-616164","News")</f>
        <v>News</v>
      </c>
      <c r="H1038" s="6" t="s">
        <v>3</v>
      </c>
      <c r="I1038" s="5" t="s">
        <v>305</v>
      </c>
      <c r="J1038" s="5" t="s">
        <v>1788</v>
      </c>
      <c r="K1038" s="5" t="s">
        <v>1430</v>
      </c>
    </row>
    <row r="1039" spans="2:11" ht="15.75" hidden="1" customHeight="1" x14ac:dyDescent="0.2">
      <c r="B1039" s="4" t="s">
        <v>1435</v>
      </c>
      <c r="C1039" s="4" t="s">
        <v>1974</v>
      </c>
      <c r="D1039" s="4" t="s">
        <v>18</v>
      </c>
      <c r="E1039" s="5" t="s">
        <v>159</v>
      </c>
      <c r="F1039" s="4" t="s">
        <v>1973</v>
      </c>
      <c r="G1039" s="19" t="str">
        <f>HYPERLINK("https://www.facebook.com/sushanktomar/videos/1981345625255272/?query=horse&amp;epa=SEARCH_BOX","Facebook")</f>
        <v>Facebook</v>
      </c>
      <c r="H1039" s="6" t="s">
        <v>11</v>
      </c>
      <c r="I1039" s="5" t="s">
        <v>305</v>
      </c>
      <c r="J1039" s="5" t="s">
        <v>1788</v>
      </c>
      <c r="K1039" s="5" t="s">
        <v>1430</v>
      </c>
    </row>
    <row r="1040" spans="2:11" ht="15.75" hidden="1" customHeight="1" x14ac:dyDescent="0.2">
      <c r="B1040" s="4" t="s">
        <v>1435</v>
      </c>
      <c r="C1040" s="6" t="s">
        <v>271</v>
      </c>
      <c r="D1040" s="6" t="s">
        <v>94</v>
      </c>
      <c r="E1040" s="5" t="s">
        <v>5</v>
      </c>
      <c r="F1040" s="4" t="s">
        <v>1972</v>
      </c>
      <c r="G1040" s="19" t="s">
        <v>3</v>
      </c>
      <c r="H1040" s="6" t="s">
        <v>3</v>
      </c>
      <c r="I1040" s="5" t="s">
        <v>305</v>
      </c>
      <c r="J1040" s="5" t="s">
        <v>1439</v>
      </c>
      <c r="K1040" s="5" t="s">
        <v>64</v>
      </c>
    </row>
    <row r="1041" spans="2:11" ht="15.75" hidden="1" customHeight="1" x14ac:dyDescent="0.2">
      <c r="B1041" s="4" t="s">
        <v>1435</v>
      </c>
      <c r="C1041" s="4" t="s">
        <v>1971</v>
      </c>
      <c r="D1041" s="4" t="s">
        <v>24</v>
      </c>
      <c r="E1041" s="5" t="s">
        <v>5</v>
      </c>
      <c r="F1041" s="4" t="s">
        <v>1970</v>
      </c>
      <c r="G1041" s="19" t="str">
        <f>HYPERLINK("https://www.youtube.com/watch?v=2ejZRO6QBaE","Youtube (News)")</f>
        <v>Youtube (News)</v>
      </c>
      <c r="H1041" s="6" t="s">
        <v>3</v>
      </c>
      <c r="I1041" s="5" t="s">
        <v>305</v>
      </c>
      <c r="J1041" s="5" t="s">
        <v>1439</v>
      </c>
      <c r="K1041" s="5" t="s">
        <v>955</v>
      </c>
    </row>
    <row r="1042" spans="2:11" ht="15.75" hidden="1" customHeight="1" x14ac:dyDescent="0.2">
      <c r="B1042" s="4" t="s">
        <v>1435</v>
      </c>
      <c r="C1042" s="4" t="s">
        <v>997</v>
      </c>
      <c r="D1042" s="4" t="s">
        <v>154</v>
      </c>
      <c r="E1042" s="5" t="s">
        <v>55</v>
      </c>
      <c r="F1042" s="4" t="s">
        <v>1969</v>
      </c>
      <c r="G1042" s="19" t="str">
        <f>HYPERLINK("https://timesofindia.indiatimes.com/city/amritsar/punjab-puts-a-leash-on-illegal-dog-fights-files-first-case/articleshow/64612222.cms","News")</f>
        <v>News</v>
      </c>
      <c r="H1042" s="6" t="s">
        <v>3</v>
      </c>
      <c r="I1042" s="5" t="s">
        <v>305</v>
      </c>
      <c r="J1042" s="5" t="s">
        <v>1700</v>
      </c>
      <c r="K1042" s="5" t="s">
        <v>0</v>
      </c>
    </row>
    <row r="1043" spans="2:11" ht="15.75" hidden="1" customHeight="1" x14ac:dyDescent="0.2">
      <c r="B1043" s="4" t="s">
        <v>1435</v>
      </c>
      <c r="C1043" s="4" t="s">
        <v>228</v>
      </c>
      <c r="D1043" s="4" t="s">
        <v>36</v>
      </c>
      <c r="E1043" s="5" t="s">
        <v>159</v>
      </c>
      <c r="F1043" s="4" t="s">
        <v>1968</v>
      </c>
      <c r="G1043" s="19" t="s">
        <v>944</v>
      </c>
      <c r="H1043" s="6" t="s">
        <v>272</v>
      </c>
      <c r="I1043" s="5" t="s">
        <v>305</v>
      </c>
      <c r="J1043" s="5" t="s">
        <v>1485</v>
      </c>
      <c r="K1043" s="5" t="s">
        <v>108</v>
      </c>
    </row>
    <row r="1044" spans="2:11" ht="15.75" hidden="1" customHeight="1" x14ac:dyDescent="0.2">
      <c r="B1044" s="4" t="s">
        <v>1435</v>
      </c>
      <c r="C1044" s="4" t="s">
        <v>1967</v>
      </c>
      <c r="D1044" s="4" t="s">
        <v>42</v>
      </c>
      <c r="E1044" s="5" t="s">
        <v>23</v>
      </c>
      <c r="F1044" s="4" t="s">
        <v>1966</v>
      </c>
      <c r="G1044" s="19" t="str">
        <f>HYPERLINK("https://indianexpress.com/article/india/stone-pelting-on-bulls-in-shamli-farmers-deny-incident-blame-Street-cattle-for-ruining-crops-5227923/","News")</f>
        <v>News</v>
      </c>
      <c r="H1044" s="6" t="s">
        <v>3</v>
      </c>
      <c r="I1044" s="5" t="s">
        <v>305</v>
      </c>
      <c r="J1044" s="5" t="s">
        <v>15</v>
      </c>
      <c r="K1044" s="5" t="s">
        <v>34</v>
      </c>
    </row>
    <row r="1045" spans="2:11" ht="15.75" hidden="1" customHeight="1" x14ac:dyDescent="0.2">
      <c r="B1045" s="4" t="s">
        <v>1435</v>
      </c>
      <c r="C1045" s="4" t="s">
        <v>53</v>
      </c>
      <c r="D1045" s="4" t="s">
        <v>210</v>
      </c>
      <c r="E1045" s="5" t="s">
        <v>23</v>
      </c>
      <c r="F1045" s="4" t="s">
        <v>1965</v>
      </c>
      <c r="G1045" s="19" t="s">
        <v>3</v>
      </c>
      <c r="H1045" s="6" t="s">
        <v>3</v>
      </c>
      <c r="I1045" s="5" t="s">
        <v>305</v>
      </c>
      <c r="J1045" s="5" t="s">
        <v>1915</v>
      </c>
      <c r="K1045" s="5" t="s">
        <v>1964</v>
      </c>
    </row>
    <row r="1046" spans="2:11" ht="15.75" hidden="1" customHeight="1" x14ac:dyDescent="0.2">
      <c r="B1046" s="4" t="s">
        <v>1435</v>
      </c>
      <c r="C1046" s="4" t="s">
        <v>104</v>
      </c>
      <c r="D1046" s="4" t="s">
        <v>18</v>
      </c>
      <c r="E1046" s="5" t="s">
        <v>23</v>
      </c>
      <c r="F1046" s="4" t="s">
        <v>1963</v>
      </c>
      <c r="G1046" s="19" t="str">
        <f>HYPERLINK("https://www.facebook.com/groups/1646554348984297/search/?query=horse&amp;epa=SEARCH_BOX","Facebook")</f>
        <v>Facebook</v>
      </c>
      <c r="H1046" s="6" t="s">
        <v>11</v>
      </c>
      <c r="I1046" s="5" t="s">
        <v>305</v>
      </c>
      <c r="J1046" s="5" t="s">
        <v>1485</v>
      </c>
      <c r="K1046" s="5" t="s">
        <v>1430</v>
      </c>
    </row>
    <row r="1047" spans="2:11" ht="15.75" hidden="1" customHeight="1" x14ac:dyDescent="0.2">
      <c r="B1047" s="4" t="s">
        <v>1435</v>
      </c>
      <c r="C1047" s="4" t="s">
        <v>104</v>
      </c>
      <c r="D1047" s="4" t="s">
        <v>18</v>
      </c>
      <c r="E1047" s="5" t="s">
        <v>5</v>
      </c>
      <c r="F1047" s="4" t="s">
        <v>1962</v>
      </c>
      <c r="G1047" s="19" t="str">
        <f>HYPERLINK("https://www.petaindia.com/media/peta-india-urges-government-crackdown-on-use-of-spiked-bits-for-horses-in-weddings/","Peta India")</f>
        <v>Peta India</v>
      </c>
      <c r="H1047" s="6" t="s">
        <v>272</v>
      </c>
      <c r="I1047" s="5" t="s">
        <v>305</v>
      </c>
      <c r="J1047" s="5" t="s">
        <v>1788</v>
      </c>
      <c r="K1047" s="5" t="s">
        <v>1430</v>
      </c>
    </row>
    <row r="1048" spans="2:11" ht="15.75" hidden="1" customHeight="1" x14ac:dyDescent="0.2">
      <c r="B1048" s="4" t="s">
        <v>1435</v>
      </c>
      <c r="C1048" s="4" t="s">
        <v>130</v>
      </c>
      <c r="D1048" s="4" t="s">
        <v>77</v>
      </c>
      <c r="E1048" s="5" t="s">
        <v>55</v>
      </c>
      <c r="F1048" s="4" t="s">
        <v>1961</v>
      </c>
      <c r="G1048" s="19" t="str">
        <f>HYPERLINK("https://www.thehindu.com/todays-paper/tp-national/tp-tamilnadu/3-detained-for-slashing-horses-neck/article24284482.ece","News")</f>
        <v>News</v>
      </c>
      <c r="H1048" s="6" t="s">
        <v>3</v>
      </c>
      <c r="I1048" s="5" t="s">
        <v>305</v>
      </c>
      <c r="J1048" s="5" t="s">
        <v>15</v>
      </c>
      <c r="K1048" s="5" t="s">
        <v>1430</v>
      </c>
    </row>
    <row r="1049" spans="2:11" ht="15.75" hidden="1" customHeight="1" x14ac:dyDescent="0.2">
      <c r="B1049" s="4" t="s">
        <v>1435</v>
      </c>
      <c r="C1049" s="6" t="s">
        <v>271</v>
      </c>
      <c r="D1049" s="6" t="s">
        <v>94</v>
      </c>
      <c r="E1049" s="18" t="s">
        <v>159</v>
      </c>
      <c r="F1049" s="4" t="s">
        <v>1960</v>
      </c>
      <c r="G1049" s="19" t="s">
        <v>11</v>
      </c>
      <c r="H1049" s="6" t="s">
        <v>11</v>
      </c>
      <c r="I1049" s="5" t="s">
        <v>305</v>
      </c>
      <c r="J1049" s="5" t="s">
        <v>1485</v>
      </c>
      <c r="K1049" s="5" t="s">
        <v>840</v>
      </c>
    </row>
    <row r="1050" spans="2:11" ht="15.75" hidden="1" customHeight="1" x14ac:dyDescent="0.2">
      <c r="B1050" s="4" t="s">
        <v>1435</v>
      </c>
      <c r="C1050" s="4" t="s">
        <v>139</v>
      </c>
      <c r="D1050" s="4" t="s">
        <v>18</v>
      </c>
      <c r="E1050" s="18" t="s">
        <v>159</v>
      </c>
      <c r="F1050" s="4" t="s">
        <v>1959</v>
      </c>
      <c r="G1050" s="19" t="str">
        <f>HYPERLINK("https://timesofindia.indiatimes.com/city/pune/rescued-female-donkey-breaks-into-sweet-song-takes-internet-by-storm/articleshow/66977326.cms","News")</f>
        <v>News</v>
      </c>
      <c r="H1050" s="6" t="s">
        <v>3</v>
      </c>
      <c r="I1050" s="5" t="s">
        <v>305</v>
      </c>
      <c r="J1050" s="5" t="s">
        <v>1485</v>
      </c>
      <c r="K1050" s="5" t="s">
        <v>639</v>
      </c>
    </row>
    <row r="1051" spans="2:11" ht="15.75" hidden="1" customHeight="1" x14ac:dyDescent="0.2">
      <c r="B1051" s="4" t="s">
        <v>1435</v>
      </c>
      <c r="C1051" s="4" t="s">
        <v>1958</v>
      </c>
      <c r="D1051" s="4" t="s">
        <v>236</v>
      </c>
      <c r="E1051" s="5" t="s">
        <v>159</v>
      </c>
      <c r="F1051" s="4" t="s">
        <v>1957</v>
      </c>
      <c r="G1051" s="19" t="str">
        <f>HYPERLINK("https://www.heraldgoa.in/Goa/Goa/Bullfight-organised-at-Benaulim/133363.html","News")</f>
        <v>News</v>
      </c>
      <c r="H1051" s="6" t="s">
        <v>3</v>
      </c>
      <c r="I1051" s="5" t="s">
        <v>305</v>
      </c>
      <c r="J1051" s="5" t="s">
        <v>1700</v>
      </c>
      <c r="K1051" s="5" t="s">
        <v>34</v>
      </c>
    </row>
    <row r="1052" spans="2:11" ht="15.75" hidden="1" customHeight="1" x14ac:dyDescent="0.2">
      <c r="B1052" s="4" t="s">
        <v>1435</v>
      </c>
      <c r="C1052" s="4" t="s">
        <v>1956</v>
      </c>
      <c r="D1052" s="4" t="s">
        <v>236</v>
      </c>
      <c r="E1052" s="5" t="s">
        <v>5</v>
      </c>
      <c r="F1052" s="4" t="s">
        <v>1955</v>
      </c>
      <c r="G1052" s="19" t="str">
        <f>HYPERLINK("https://www.independent.co.uk/news/world/asia/elephants-pointed-sticks-goa-india-resort-uk-tourists-wildlife-sos-a8458771.html","News")</f>
        <v>News</v>
      </c>
      <c r="H1052" s="6" t="s">
        <v>3</v>
      </c>
      <c r="I1052" s="5" t="s">
        <v>305</v>
      </c>
      <c r="J1052" s="5" t="s">
        <v>1492</v>
      </c>
      <c r="K1052" s="5" t="s">
        <v>64</v>
      </c>
    </row>
    <row r="1053" spans="2:11" ht="15.75" hidden="1" customHeight="1" x14ac:dyDescent="0.2">
      <c r="B1053" s="4" t="s">
        <v>1435</v>
      </c>
      <c r="C1053" s="6"/>
      <c r="D1053" s="4" t="s">
        <v>77</v>
      </c>
      <c r="E1053" s="5" t="s">
        <v>5</v>
      </c>
      <c r="F1053" s="4" t="s">
        <v>1954</v>
      </c>
      <c r="G1053" s="19" t="str">
        <f>HYPERLINK("https://www.thenewsminute.com/article/peta-slams-karthis-kadaikutty-singam-awbi-over-rekla-race-scene-film-85484","News")</f>
        <v>News</v>
      </c>
      <c r="H1053" s="6" t="s">
        <v>3</v>
      </c>
      <c r="I1053" s="5" t="s">
        <v>305</v>
      </c>
      <c r="J1053" s="5" t="s">
        <v>1492</v>
      </c>
      <c r="K1053" s="5" t="s">
        <v>57</v>
      </c>
    </row>
    <row r="1054" spans="2:11" ht="15.75" hidden="1" customHeight="1" x14ac:dyDescent="0.2">
      <c r="B1054" s="4" t="s">
        <v>1435</v>
      </c>
      <c r="C1054" s="4" t="s">
        <v>321</v>
      </c>
      <c r="D1054" s="4" t="s">
        <v>42</v>
      </c>
      <c r="E1054" s="5" t="s">
        <v>5</v>
      </c>
      <c r="F1054" s="4" t="s">
        <v>1953</v>
      </c>
      <c r="G1054" s="19" t="str">
        <f>HYPERLINK("https://timesofindia.indiatimes.com/videos/city/lucknow/21-reptiles-seized-from-snake-charmers-outside-mathuras-shree-krishna-temple/videoshow/65321699.cms","News")</f>
        <v>News</v>
      </c>
      <c r="H1054" s="6" t="s">
        <v>3</v>
      </c>
      <c r="I1054" s="5" t="s">
        <v>305</v>
      </c>
      <c r="J1054" s="5" t="s">
        <v>1522</v>
      </c>
      <c r="K1054" s="5" t="s">
        <v>509</v>
      </c>
    </row>
    <row r="1055" spans="2:11" ht="15.75" hidden="1" customHeight="1" x14ac:dyDescent="0.2">
      <c r="B1055" s="4" t="s">
        <v>1435</v>
      </c>
      <c r="C1055" s="4" t="s">
        <v>1952</v>
      </c>
      <c r="D1055" s="4" t="s">
        <v>36</v>
      </c>
      <c r="E1055" s="5" t="s">
        <v>159</v>
      </c>
      <c r="F1055" s="4" t="s">
        <v>1951</v>
      </c>
      <c r="G1055" s="19" t="str">
        <f>HYPERLINK("https://www.petaindia.com/features/new-kambala-investigations-reveal-that-buffaloes-are-still-suffering/","Peta India")</f>
        <v>Peta India</v>
      </c>
      <c r="H1055" s="6" t="s">
        <v>272</v>
      </c>
      <c r="I1055" s="5" t="s">
        <v>305</v>
      </c>
      <c r="J1055" s="5" t="s">
        <v>1700</v>
      </c>
      <c r="K1055" s="5" t="s">
        <v>34</v>
      </c>
    </row>
    <row r="1056" spans="2:11" ht="15.75" hidden="1" customHeight="1" x14ac:dyDescent="0.2">
      <c r="B1056" s="4" t="s">
        <v>1435</v>
      </c>
      <c r="C1056" s="6" t="s">
        <v>95</v>
      </c>
      <c r="D1056" s="6" t="s">
        <v>94</v>
      </c>
      <c r="E1056" s="5" t="s">
        <v>159</v>
      </c>
      <c r="F1056" s="4" t="s">
        <v>808</v>
      </c>
      <c r="G1056" s="19" t="s">
        <v>11</v>
      </c>
      <c r="H1056" s="6" t="s">
        <v>11</v>
      </c>
      <c r="I1056" s="5" t="s">
        <v>305</v>
      </c>
      <c r="J1056" s="5" t="s">
        <v>92</v>
      </c>
      <c r="K1056" s="5" t="s">
        <v>108</v>
      </c>
    </row>
    <row r="1057" spans="2:11" ht="15.75" hidden="1" customHeight="1" x14ac:dyDescent="0.2">
      <c r="B1057" s="4" t="s">
        <v>1435</v>
      </c>
      <c r="C1057" s="4" t="s">
        <v>104</v>
      </c>
      <c r="D1057" s="4" t="s">
        <v>18</v>
      </c>
      <c r="E1057" s="5" t="s">
        <v>159</v>
      </c>
      <c r="F1057" s="4" t="s">
        <v>1950</v>
      </c>
      <c r="G1057" s="19" t="str">
        <f>HYPERLINK("https://www.deccanchronicle.com/lifestyle/pets-and-environment/160818/begging-monkeys-rescued-from-mumbai-railway-station-after-peta-india-i.html","News")</f>
        <v>News</v>
      </c>
      <c r="H1057" s="6" t="s">
        <v>3</v>
      </c>
      <c r="I1057" s="5" t="s">
        <v>305</v>
      </c>
      <c r="J1057" s="5" t="s">
        <v>1439</v>
      </c>
      <c r="K1057" s="5" t="s">
        <v>19</v>
      </c>
    </row>
    <row r="1058" spans="2:11" ht="15.75" hidden="1" customHeight="1" x14ac:dyDescent="0.2">
      <c r="B1058" s="4" t="s">
        <v>1435</v>
      </c>
      <c r="C1058" s="4" t="s">
        <v>313</v>
      </c>
      <c r="D1058" s="4" t="s">
        <v>42</v>
      </c>
      <c r="E1058" s="5" t="s">
        <v>5</v>
      </c>
      <c r="F1058" s="4" t="s">
        <v>1949</v>
      </c>
      <c r="G1058" s="19" t="str">
        <f>HYPERLINK("https://timesofindia.indiatimes.com/city/agra/53-snakes-seized-in-agra-before-shravan-month-concludes/articleshow/65490161.cms","News")</f>
        <v>News</v>
      </c>
      <c r="H1058" s="6" t="s">
        <v>3</v>
      </c>
      <c r="I1058" s="5" t="s">
        <v>305</v>
      </c>
      <c r="J1058" s="5" t="s">
        <v>1522</v>
      </c>
      <c r="K1058" s="5" t="s">
        <v>509</v>
      </c>
    </row>
    <row r="1059" spans="2:11" ht="15.75" hidden="1" customHeight="1" x14ac:dyDescent="0.2">
      <c r="B1059" s="4" t="s">
        <v>1435</v>
      </c>
      <c r="C1059" s="4" t="s">
        <v>130</v>
      </c>
      <c r="D1059" s="4" t="s">
        <v>77</v>
      </c>
      <c r="E1059" s="5" t="s">
        <v>159</v>
      </c>
      <c r="F1059" s="4" t="s">
        <v>1948</v>
      </c>
      <c r="G1059" s="19" t="str">
        <f>HYPERLINK("https://timesofindia.indiatimes.com/city/chennai/monkeys-rescued-from-marina-begging-racket/articleshow/65507635.cms","News")</f>
        <v>News</v>
      </c>
      <c r="H1059" s="6" t="s">
        <v>3</v>
      </c>
      <c r="I1059" s="5" t="s">
        <v>305</v>
      </c>
      <c r="J1059" s="5" t="s">
        <v>1439</v>
      </c>
      <c r="K1059" s="5" t="s">
        <v>19</v>
      </c>
    </row>
    <row r="1060" spans="2:11" ht="15.75" hidden="1" customHeight="1" x14ac:dyDescent="0.2">
      <c r="B1060" s="4" t="s">
        <v>1435</v>
      </c>
      <c r="C1060" s="4" t="s">
        <v>201</v>
      </c>
      <c r="D1060" s="4" t="s">
        <v>154</v>
      </c>
      <c r="E1060" s="5" t="s">
        <v>159</v>
      </c>
      <c r="F1060" s="4" t="s">
        <v>1947</v>
      </c>
      <c r="G1060" s="19" t="str">
        <f>HYPERLINK("https://timesofindia.indiatimes.com/city/ludhiana/ludhiana-govt-revokes-ban-on-horse-show-and-equine-trade-fair/articleshow/65580968.cms","News")</f>
        <v>News</v>
      </c>
      <c r="H1060" s="6" t="s">
        <v>3</v>
      </c>
      <c r="I1060" s="5" t="s">
        <v>305</v>
      </c>
      <c r="J1060" s="5" t="s">
        <v>1700</v>
      </c>
      <c r="K1060" s="5" t="s">
        <v>1430</v>
      </c>
    </row>
    <row r="1061" spans="2:11" ht="15.75" hidden="1" customHeight="1" x14ac:dyDescent="0.2">
      <c r="B1061" s="4" t="s">
        <v>1435</v>
      </c>
      <c r="C1061" s="18" t="s">
        <v>95</v>
      </c>
      <c r="D1061" s="18" t="s">
        <v>94</v>
      </c>
      <c r="E1061" s="5" t="s">
        <v>159</v>
      </c>
      <c r="F1061" s="4" t="s">
        <v>1946</v>
      </c>
      <c r="G1061" s="19" t="str">
        <f>HYPERLINK("https://www.youtube.com/watch?v=nX9b2feBVVM","Youtube (Animal Aid Unlimited)")</f>
        <v>Youtube (Animal Aid Unlimited)</v>
      </c>
      <c r="H1061" s="6" t="s">
        <v>272</v>
      </c>
      <c r="I1061" s="5" t="s">
        <v>305</v>
      </c>
      <c r="J1061" s="5" t="s">
        <v>15</v>
      </c>
      <c r="K1061" s="5" t="s">
        <v>34</v>
      </c>
    </row>
    <row r="1062" spans="2:11" ht="15.75" hidden="1" customHeight="1" x14ac:dyDescent="0.2">
      <c r="B1062" s="4" t="s">
        <v>1435</v>
      </c>
      <c r="C1062" s="4" t="s">
        <v>1945</v>
      </c>
      <c r="D1062" s="4" t="s">
        <v>18</v>
      </c>
      <c r="E1062" s="5" t="s">
        <v>23</v>
      </c>
      <c r="F1062" s="4" t="s">
        <v>1944</v>
      </c>
      <c r="G1062" s="19" t="s">
        <v>3</v>
      </c>
      <c r="H1062" s="6" t="s">
        <v>3</v>
      </c>
      <c r="I1062" s="5" t="s">
        <v>305</v>
      </c>
      <c r="J1062" s="5" t="s">
        <v>1700</v>
      </c>
      <c r="K1062" s="5" t="s">
        <v>1430</v>
      </c>
    </row>
    <row r="1063" spans="2:11" ht="15.75" hidden="1" customHeight="1" x14ac:dyDescent="0.2">
      <c r="B1063" s="4" t="s">
        <v>1435</v>
      </c>
      <c r="C1063" s="6" t="s">
        <v>95</v>
      </c>
      <c r="D1063" s="6" t="s">
        <v>94</v>
      </c>
      <c r="E1063" s="5" t="s">
        <v>159</v>
      </c>
      <c r="F1063" s="4" t="s">
        <v>1943</v>
      </c>
      <c r="G1063" s="19" t="s">
        <v>11</v>
      </c>
      <c r="H1063" s="6" t="s">
        <v>11</v>
      </c>
      <c r="I1063" s="5" t="s">
        <v>305</v>
      </c>
      <c r="J1063" s="5" t="s">
        <v>1485</v>
      </c>
      <c r="K1063" s="5" t="s">
        <v>639</v>
      </c>
    </row>
    <row r="1064" spans="2:11" ht="15.75" hidden="1" customHeight="1" x14ac:dyDescent="0.2">
      <c r="B1064" s="4" t="s">
        <v>1435</v>
      </c>
      <c r="C1064" s="4" t="s">
        <v>1514</v>
      </c>
      <c r="D1064" s="4" t="s">
        <v>71</v>
      </c>
      <c r="E1064" s="5" t="s">
        <v>23</v>
      </c>
      <c r="F1064" s="4" t="s">
        <v>1942</v>
      </c>
      <c r="G1064" s="19" t="str">
        <f>HYPERLINK("https://timesofindia.indiatimes.com/city/chandigarh/probe-begins-as-38-buffaloes-die-at-ndri-campus/articleshow/71175961.cms","News")</f>
        <v>News</v>
      </c>
      <c r="H1064" s="6" t="s">
        <v>3</v>
      </c>
      <c r="I1064" s="5" t="s">
        <v>305</v>
      </c>
      <c r="J1064" s="5" t="s">
        <v>92</v>
      </c>
      <c r="K1064" s="5" t="s">
        <v>367</v>
      </c>
    </row>
    <row r="1065" spans="2:11" ht="15.75" hidden="1" customHeight="1" x14ac:dyDescent="0.2">
      <c r="B1065" s="4" t="s">
        <v>1435</v>
      </c>
      <c r="C1065" s="4" t="s">
        <v>1941</v>
      </c>
      <c r="D1065" s="4" t="s">
        <v>36</v>
      </c>
      <c r="E1065" s="5" t="s">
        <v>5</v>
      </c>
      <c r="F1065" s="4" t="s">
        <v>1940</v>
      </c>
      <c r="G1065" s="19" t="str">
        <f>HYPERLINK("https://timesofindia.indiatimes.com/city/bengaluru/making-bulls-horses-race-together-is-extreme-torture/articleshow/65870596.cms","News")</f>
        <v>News</v>
      </c>
      <c r="H1065" s="6" t="s">
        <v>3</v>
      </c>
      <c r="I1065" s="5" t="s">
        <v>305</v>
      </c>
      <c r="J1065" s="5" t="s">
        <v>1700</v>
      </c>
      <c r="K1065" s="5" t="s">
        <v>34</v>
      </c>
    </row>
    <row r="1066" spans="2:11" ht="15.75" hidden="1" customHeight="1" x14ac:dyDescent="0.2">
      <c r="B1066" s="4" t="s">
        <v>1435</v>
      </c>
      <c r="C1066" s="4" t="s">
        <v>1939</v>
      </c>
      <c r="D1066" s="4" t="s">
        <v>66</v>
      </c>
      <c r="E1066" s="5" t="s">
        <v>159</v>
      </c>
      <c r="F1066" s="4" t="s">
        <v>1938</v>
      </c>
      <c r="G1066" s="19" t="str">
        <f>HYPERLINK("https://www.facebook.com/heritageanimaltaskforce/posts/554997591588227","Facebook")</f>
        <v>Facebook</v>
      </c>
      <c r="H1066" s="6" t="s">
        <v>11</v>
      </c>
      <c r="I1066" s="5" t="s">
        <v>305</v>
      </c>
      <c r="J1066" s="5" t="s">
        <v>1439</v>
      </c>
      <c r="K1066" s="5" t="s">
        <v>64</v>
      </c>
    </row>
    <row r="1067" spans="2:11" ht="15.75" hidden="1" customHeight="1" x14ac:dyDescent="0.2">
      <c r="B1067" s="4" t="s">
        <v>1435</v>
      </c>
      <c r="C1067" s="6"/>
      <c r="D1067" s="6"/>
      <c r="E1067" s="5" t="s">
        <v>5</v>
      </c>
      <c r="F1067" s="4" t="s">
        <v>1937</v>
      </c>
      <c r="G1067" s="19" t="str">
        <f>HYPERLINK("https://dbpost.com/domestic-dogs-used-as-baits-to-train-fighter-canines-for-illegal-bouts/","News")</f>
        <v>News</v>
      </c>
      <c r="H1067" s="6" t="s">
        <v>3</v>
      </c>
      <c r="I1067" s="5" t="s">
        <v>305</v>
      </c>
      <c r="J1067" s="5" t="s">
        <v>1700</v>
      </c>
      <c r="K1067" s="5" t="s">
        <v>0</v>
      </c>
    </row>
    <row r="1068" spans="2:11" ht="15.75" hidden="1" customHeight="1" x14ac:dyDescent="0.2">
      <c r="B1068" s="4" t="s">
        <v>1435</v>
      </c>
      <c r="C1068" s="4" t="s">
        <v>271</v>
      </c>
      <c r="D1068" s="4" t="s">
        <v>94</v>
      </c>
      <c r="E1068" s="5" t="s">
        <v>23</v>
      </c>
      <c r="F1068" s="4" t="s">
        <v>1936</v>
      </c>
      <c r="G1068" s="19" t="str">
        <f>HYPERLINK("https://www.thehindu.com/news/national/other-states/court-puts-cruelty-against-elephants-at-amber-fort-under-scanner/article24061528.ece","News")</f>
        <v>News</v>
      </c>
      <c r="H1068" s="6" t="s">
        <v>3</v>
      </c>
      <c r="I1068" s="5" t="s">
        <v>305</v>
      </c>
      <c r="J1068" s="5" t="s">
        <v>1439</v>
      </c>
      <c r="K1068" s="5" t="s">
        <v>64</v>
      </c>
    </row>
    <row r="1069" spans="2:11" ht="15.75" hidden="1" customHeight="1" x14ac:dyDescent="0.2">
      <c r="B1069" s="4" t="s">
        <v>1435</v>
      </c>
      <c r="C1069" s="4" t="s">
        <v>1935</v>
      </c>
      <c r="D1069" s="4" t="s">
        <v>236</v>
      </c>
      <c r="E1069" s="5" t="s">
        <v>159</v>
      </c>
      <c r="F1069" s="4" t="s">
        <v>1934</v>
      </c>
      <c r="G1069" s="19" t="str">
        <f>HYPERLINK("https://www.facebook.com/photo.php?fbid=10156137219196523&amp;set=gm.1512360095530614&amp;type=3&amp;theater&amp;ifg=1","Facebook")</f>
        <v>Facebook</v>
      </c>
      <c r="H1069" s="6" t="s">
        <v>11</v>
      </c>
      <c r="I1069" s="5" t="s">
        <v>305</v>
      </c>
      <c r="J1069" s="5" t="s">
        <v>1485</v>
      </c>
      <c r="K1069" s="5" t="s">
        <v>34</v>
      </c>
    </row>
    <row r="1070" spans="2:11" ht="15.75" hidden="1" customHeight="1" x14ac:dyDescent="0.2">
      <c r="B1070" s="4" t="s">
        <v>1435</v>
      </c>
      <c r="C1070" s="4"/>
      <c r="D1070" s="4" t="s">
        <v>36</v>
      </c>
      <c r="E1070" s="5" t="s">
        <v>159</v>
      </c>
      <c r="F1070" s="4" t="s">
        <v>1933</v>
      </c>
      <c r="G1070" s="19" t="str">
        <f>HYPERLINK("https://www.youtube.com/watch?v=UuCqsSa2Xfg","Youtube ")</f>
        <v xml:space="preserve">Youtube </v>
      </c>
      <c r="H1070" s="6" t="s">
        <v>3</v>
      </c>
      <c r="I1070" s="5" t="s">
        <v>305</v>
      </c>
      <c r="J1070" s="5" t="s">
        <v>1700</v>
      </c>
      <c r="K1070" s="5" t="s">
        <v>34</v>
      </c>
    </row>
    <row r="1071" spans="2:11" ht="15.75" hidden="1" customHeight="1" x14ac:dyDescent="0.2">
      <c r="B1071" s="4" t="s">
        <v>1435</v>
      </c>
      <c r="C1071" s="6"/>
      <c r="D1071" s="6" t="s">
        <v>1932</v>
      </c>
      <c r="E1071" s="5" t="s">
        <v>159</v>
      </c>
      <c r="F1071" s="4" t="s">
        <v>1931</v>
      </c>
      <c r="G1071" s="19" t="str">
        <f>HYPERLINK("https://www.thehindu.com/todays-paper/tp-national/tp-tamilnadu/audience-left-spellbound-by-jaw-dropping-acts/article23831864.ece","News")</f>
        <v>News</v>
      </c>
      <c r="H1071" s="6" t="s">
        <v>3</v>
      </c>
      <c r="I1071" s="5" t="s">
        <v>305</v>
      </c>
      <c r="J1071" s="5" t="s">
        <v>1492</v>
      </c>
      <c r="K1071" s="5" t="s">
        <v>204</v>
      </c>
    </row>
    <row r="1072" spans="2:11" ht="15.75" hidden="1" customHeight="1" x14ac:dyDescent="0.2">
      <c r="B1072" s="4" t="s">
        <v>1435</v>
      </c>
      <c r="C1072" s="6" t="s">
        <v>56</v>
      </c>
      <c r="D1072" s="4" t="s">
        <v>18</v>
      </c>
      <c r="E1072" s="5" t="s">
        <v>23</v>
      </c>
      <c r="F1072" s="4" t="s">
        <v>1930</v>
      </c>
      <c r="G1072" s="19" t="str">
        <f>HYPERLINK("https://timesofindia.indiatimes.com/city/navi-mumbai/navi-mumbai-activists-on-high-alert-against-bullock-cart-races/articleshow/65772436.cms","News")</f>
        <v>News</v>
      </c>
      <c r="H1072" s="6" t="s">
        <v>3</v>
      </c>
      <c r="I1072" s="5" t="s">
        <v>305</v>
      </c>
      <c r="J1072" s="5" t="s">
        <v>1700</v>
      </c>
      <c r="K1072" s="5" t="s">
        <v>1430</v>
      </c>
    </row>
    <row r="1073" spans="2:11" ht="15.75" hidden="1" customHeight="1" x14ac:dyDescent="0.2">
      <c r="B1073" s="4" t="s">
        <v>1435</v>
      </c>
      <c r="C1073" s="4" t="s">
        <v>1929</v>
      </c>
      <c r="D1073" s="4" t="s">
        <v>267</v>
      </c>
      <c r="E1073" s="5" t="s">
        <v>159</v>
      </c>
      <c r="F1073" s="4" t="s">
        <v>1928</v>
      </c>
      <c r="G1073" s="19" t="str">
        <f>HYPERLINK("https://www.newindianexpress.com/cities/vijayawada/2018/oct/15/ongole-bulls-cynosure-of-all-eyes-at-dasara-festivities-1885698.html","News")</f>
        <v>News</v>
      </c>
      <c r="H1073" s="6" t="s">
        <v>3</v>
      </c>
      <c r="I1073" s="5" t="s">
        <v>305</v>
      </c>
      <c r="J1073" s="5" t="s">
        <v>1700</v>
      </c>
      <c r="K1073" s="5" t="s">
        <v>34</v>
      </c>
    </row>
    <row r="1074" spans="2:11" ht="15.75" hidden="1" customHeight="1" x14ac:dyDescent="0.2">
      <c r="B1074" s="4" t="s">
        <v>1435</v>
      </c>
      <c r="C1074" s="6"/>
      <c r="D1074" s="4" t="s">
        <v>236</v>
      </c>
      <c r="E1074" s="5" t="s">
        <v>159</v>
      </c>
      <c r="F1074" s="4" t="s">
        <v>1927</v>
      </c>
      <c r="G1074" s="19" t="s">
        <v>1467</v>
      </c>
      <c r="H1074" s="6" t="s">
        <v>11</v>
      </c>
      <c r="I1074" s="5" t="s">
        <v>305</v>
      </c>
      <c r="J1074" s="5" t="s">
        <v>15</v>
      </c>
      <c r="K1074" s="5" t="s">
        <v>34</v>
      </c>
    </row>
    <row r="1075" spans="2:11" ht="15.75" hidden="1" customHeight="1" x14ac:dyDescent="0.2">
      <c r="B1075" s="4" t="s">
        <v>1435</v>
      </c>
      <c r="C1075" s="4" t="s">
        <v>228</v>
      </c>
      <c r="D1075" s="4" t="s">
        <v>36</v>
      </c>
      <c r="E1075" s="5" t="s">
        <v>159</v>
      </c>
      <c r="F1075" s="4" t="s">
        <v>1926</v>
      </c>
      <c r="G1075" s="19" t="s">
        <v>944</v>
      </c>
      <c r="H1075" s="6" t="s">
        <v>272</v>
      </c>
      <c r="I1075" s="5" t="s">
        <v>305</v>
      </c>
      <c r="J1075" s="5" t="s">
        <v>1485</v>
      </c>
      <c r="K1075" s="5" t="s">
        <v>108</v>
      </c>
    </row>
    <row r="1076" spans="2:11" ht="15.75" hidden="1" customHeight="1" x14ac:dyDescent="0.2">
      <c r="B1076" s="4" t="s">
        <v>1435</v>
      </c>
      <c r="C1076" s="6"/>
      <c r="D1076" s="6"/>
      <c r="E1076" s="5" t="s">
        <v>159</v>
      </c>
      <c r="F1076" s="4" t="s">
        <v>1925</v>
      </c>
      <c r="G1076" s="19" t="s">
        <v>3</v>
      </c>
      <c r="H1076" s="6" t="s">
        <v>3</v>
      </c>
      <c r="I1076" s="5" t="s">
        <v>305</v>
      </c>
      <c r="J1076" s="5" t="s">
        <v>1788</v>
      </c>
      <c r="K1076" s="5" t="s">
        <v>1430</v>
      </c>
    </row>
    <row r="1077" spans="2:11" ht="15.75" hidden="1" customHeight="1" x14ac:dyDescent="0.2">
      <c r="B1077" s="4" t="s">
        <v>1435</v>
      </c>
      <c r="C1077" s="6"/>
      <c r="D1077" s="6"/>
      <c r="E1077" s="5" t="s">
        <v>5</v>
      </c>
      <c r="F1077" s="4" t="s">
        <v>1924</v>
      </c>
      <c r="G1077" s="19" t="s">
        <v>3</v>
      </c>
      <c r="H1077" s="6" t="s">
        <v>3</v>
      </c>
      <c r="I1077" s="5" t="s">
        <v>305</v>
      </c>
      <c r="J1077" s="5" t="s">
        <v>1915</v>
      </c>
      <c r="K1077" s="5" t="s">
        <v>373</v>
      </c>
    </row>
    <row r="1078" spans="2:11" ht="15.75" hidden="1" customHeight="1" x14ac:dyDescent="0.2">
      <c r="B1078" s="4" t="s">
        <v>1435</v>
      </c>
      <c r="C1078" s="4" t="s">
        <v>111</v>
      </c>
      <c r="D1078" s="4" t="s">
        <v>24</v>
      </c>
      <c r="E1078" s="5" t="s">
        <v>5</v>
      </c>
      <c r="F1078" s="4" t="s">
        <v>1923</v>
      </c>
      <c r="G1078" s="4" t="s">
        <v>177</v>
      </c>
      <c r="H1078" s="6" t="s">
        <v>272</v>
      </c>
      <c r="I1078" s="5" t="s">
        <v>305</v>
      </c>
      <c r="J1078" s="5" t="s">
        <v>1492</v>
      </c>
      <c r="K1078" s="5" t="s">
        <v>204</v>
      </c>
    </row>
    <row r="1079" spans="2:11" ht="15.75" hidden="1" customHeight="1" x14ac:dyDescent="0.2">
      <c r="B1079" s="4" t="s">
        <v>1435</v>
      </c>
      <c r="C1079" s="4" t="s">
        <v>1853</v>
      </c>
      <c r="D1079" s="6" t="s">
        <v>77</v>
      </c>
      <c r="E1079" s="5" t="s">
        <v>159</v>
      </c>
      <c r="F1079" s="4" t="s">
        <v>1922</v>
      </c>
      <c r="G1079" s="19" t="str">
        <f>HYPERLINK("https://www.ndtv.com/tamil-nadu-news/jallikattu-bull-owned-by-tamil-nadu-minister-dies-after-hitting-a-wall-1811391","News")</f>
        <v>News</v>
      </c>
      <c r="H1079" s="6" t="s">
        <v>3</v>
      </c>
      <c r="I1079" s="5" t="s">
        <v>305</v>
      </c>
      <c r="J1079" s="5" t="s">
        <v>1700</v>
      </c>
      <c r="K1079" s="5" t="s">
        <v>34</v>
      </c>
    </row>
    <row r="1080" spans="2:11" ht="15.75" hidden="1" customHeight="1" x14ac:dyDescent="0.2">
      <c r="B1080" s="4" t="s">
        <v>1435</v>
      </c>
      <c r="C1080" s="4" t="s">
        <v>130</v>
      </c>
      <c r="D1080" s="4" t="s">
        <v>77</v>
      </c>
      <c r="E1080" s="5" t="s">
        <v>5</v>
      </c>
      <c r="F1080" s="4" t="s">
        <v>1921</v>
      </c>
      <c r="G1080" s="19" t="str">
        <f>HYPERLINK("https://www.thehindu.com/todays-paper/tp-national/tp-tamilnadu/four-beach-horses-died-in-one-month-due-to-neglect/article22719087.ece","News")</f>
        <v>News</v>
      </c>
      <c r="H1080" s="6" t="s">
        <v>3</v>
      </c>
      <c r="I1080" s="5" t="s">
        <v>305</v>
      </c>
      <c r="J1080" s="5" t="s">
        <v>1920</v>
      </c>
      <c r="K1080" s="5" t="s">
        <v>1430</v>
      </c>
    </row>
    <row r="1081" spans="2:11" ht="15.75" hidden="1" customHeight="1" x14ac:dyDescent="0.2">
      <c r="B1081" s="4" t="s">
        <v>1435</v>
      </c>
      <c r="C1081" s="6" t="s">
        <v>95</v>
      </c>
      <c r="D1081" s="6" t="s">
        <v>94</v>
      </c>
      <c r="E1081" s="5" t="s">
        <v>159</v>
      </c>
      <c r="F1081" s="4" t="s">
        <v>1919</v>
      </c>
      <c r="G1081" s="19" t="s">
        <v>11</v>
      </c>
      <c r="H1081" s="6" t="s">
        <v>11</v>
      </c>
      <c r="I1081" s="5" t="s">
        <v>305</v>
      </c>
      <c r="J1081" s="5" t="s">
        <v>1485</v>
      </c>
      <c r="K1081" s="5" t="s">
        <v>639</v>
      </c>
    </row>
    <row r="1082" spans="2:11" ht="15.75" hidden="1" customHeight="1" x14ac:dyDescent="0.2">
      <c r="B1082" s="4" t="s">
        <v>1435</v>
      </c>
      <c r="C1082" s="6"/>
      <c r="D1082" s="6"/>
      <c r="E1082" s="5" t="s">
        <v>159</v>
      </c>
      <c r="F1082" s="4" t="s">
        <v>1918</v>
      </c>
      <c r="G1082" s="19" t="str">
        <f>HYPERLINK("https://economictimes.indiatimes.com/news/defence/retirement-means-death-for-armys-canine-comrades/articleshow/47524529.cms?from=mdr","News")</f>
        <v>News</v>
      </c>
      <c r="H1082" s="6" t="s">
        <v>3</v>
      </c>
      <c r="I1082" s="5" t="s">
        <v>305</v>
      </c>
      <c r="J1082" s="5" t="s">
        <v>1788</v>
      </c>
      <c r="K1082" s="5" t="s">
        <v>0</v>
      </c>
    </row>
    <row r="1083" spans="2:11" ht="15.75" hidden="1" customHeight="1" x14ac:dyDescent="0.2">
      <c r="B1083" s="4" t="s">
        <v>1435</v>
      </c>
      <c r="C1083" s="4" t="s">
        <v>507</v>
      </c>
      <c r="D1083" s="4" t="s">
        <v>150</v>
      </c>
      <c r="E1083" s="5" t="s">
        <v>159</v>
      </c>
      <c r="F1083" s="4" t="s">
        <v>1917</v>
      </c>
      <c r="G1083" s="19" t="str">
        <f>HYPERLINK("https://www.thehindu.com/news/cities/Delhi/spiked-bits-used-in-horses-mouths-seized/article24383740.ece","News")</f>
        <v>News</v>
      </c>
      <c r="H1083" s="6" t="s">
        <v>3</v>
      </c>
      <c r="I1083" s="5" t="s">
        <v>305</v>
      </c>
      <c r="J1083" s="5" t="s">
        <v>1788</v>
      </c>
      <c r="K1083" s="5" t="s">
        <v>1430</v>
      </c>
    </row>
    <row r="1084" spans="2:11" ht="15.75" hidden="1" customHeight="1" x14ac:dyDescent="0.2">
      <c r="B1084" s="4" t="s">
        <v>1435</v>
      </c>
      <c r="C1084" s="6"/>
      <c r="D1084" s="6" t="s">
        <v>150</v>
      </c>
      <c r="E1084" s="18" t="s">
        <v>23</v>
      </c>
      <c r="F1084" s="4" t="s">
        <v>1916</v>
      </c>
      <c r="G1084" s="19" t="s">
        <v>3</v>
      </c>
      <c r="H1084" s="6" t="s">
        <v>3</v>
      </c>
      <c r="I1084" s="5" t="s">
        <v>305</v>
      </c>
      <c r="J1084" s="5" t="s">
        <v>1915</v>
      </c>
      <c r="K1084" s="5" t="s">
        <v>373</v>
      </c>
    </row>
    <row r="1085" spans="2:11" ht="15.75" hidden="1" customHeight="1" x14ac:dyDescent="0.2">
      <c r="B1085" s="4" t="s">
        <v>1435</v>
      </c>
      <c r="C1085" s="6"/>
      <c r="D1085" s="18" t="s">
        <v>18</v>
      </c>
      <c r="E1085" s="5" t="s">
        <v>159</v>
      </c>
      <c r="F1085" s="4" t="s">
        <v>1914</v>
      </c>
      <c r="G1085" s="19" t="str">
        <f>HYPERLINK("https://www.facebook.com/sagar.kardilepatil.71/posts/302836930540616","Facebook")</f>
        <v>Facebook</v>
      </c>
      <c r="H1085" s="6" t="s">
        <v>11</v>
      </c>
      <c r="I1085" s="5" t="s">
        <v>305</v>
      </c>
      <c r="J1085" s="5" t="s">
        <v>1700</v>
      </c>
      <c r="K1085" s="5" t="s">
        <v>34</v>
      </c>
    </row>
    <row r="1086" spans="2:11" ht="15.75" hidden="1" customHeight="1" x14ac:dyDescent="0.2">
      <c r="B1086" s="4" t="s">
        <v>1435</v>
      </c>
      <c r="C1086" s="4" t="s">
        <v>313</v>
      </c>
      <c r="D1086" s="4" t="s">
        <v>42</v>
      </c>
      <c r="E1086" s="5" t="s">
        <v>159</v>
      </c>
      <c r="F1086" s="4" t="s">
        <v>1913</v>
      </c>
      <c r="G1086" s="19" t="s">
        <v>3</v>
      </c>
      <c r="H1086" s="6" t="s">
        <v>3</v>
      </c>
      <c r="I1086" s="5" t="s">
        <v>305</v>
      </c>
      <c r="J1086" s="5" t="s">
        <v>1439</v>
      </c>
      <c r="K1086" s="5" t="s">
        <v>19</v>
      </c>
    </row>
    <row r="1087" spans="2:11" ht="15.75" hidden="1" customHeight="1" x14ac:dyDescent="0.2">
      <c r="B1087" s="4" t="s">
        <v>1435</v>
      </c>
      <c r="C1087" s="4" t="s">
        <v>1912</v>
      </c>
      <c r="D1087" s="4" t="s">
        <v>24</v>
      </c>
      <c r="E1087" s="5" t="s">
        <v>159</v>
      </c>
      <c r="F1087" s="4" t="s">
        <v>1911</v>
      </c>
      <c r="G1087" s="19" t="str">
        <f>HYPERLINK("https://www.youtube.com/watch?v=b5sODa94AYU","Youtube (News)")</f>
        <v>Youtube (News)</v>
      </c>
      <c r="H1087" s="6" t="s">
        <v>3</v>
      </c>
      <c r="I1087" s="5" t="s">
        <v>305</v>
      </c>
      <c r="J1087" s="5" t="s">
        <v>1480</v>
      </c>
      <c r="K1087" s="5" t="s">
        <v>1430</v>
      </c>
    </row>
    <row r="1088" spans="2:11" ht="15.75" hidden="1" customHeight="1" x14ac:dyDescent="0.2">
      <c r="B1088" s="4" t="s">
        <v>1435</v>
      </c>
      <c r="C1088" s="4" t="s">
        <v>1395</v>
      </c>
      <c r="D1088" s="6" t="s">
        <v>52</v>
      </c>
      <c r="E1088" s="5" t="s">
        <v>159</v>
      </c>
      <c r="F1088" s="4" t="s">
        <v>1910</v>
      </c>
      <c r="G1088" s="19" t="str">
        <f>HYPERLINK("https://www.youtube.com/watch?v=ItnjXqaaurA","Youtube")</f>
        <v>Youtube</v>
      </c>
      <c r="H1088" s="6" t="s">
        <v>3</v>
      </c>
      <c r="I1088" s="5" t="s">
        <v>305</v>
      </c>
      <c r="J1088" s="5" t="s">
        <v>1522</v>
      </c>
      <c r="K1088" s="5" t="s">
        <v>204</v>
      </c>
    </row>
    <row r="1089" spans="2:11" ht="15.75" hidden="1" customHeight="1" x14ac:dyDescent="0.2">
      <c r="B1089" s="4" t="s">
        <v>1435</v>
      </c>
      <c r="C1089" s="4" t="s">
        <v>104</v>
      </c>
      <c r="D1089" s="4" t="s">
        <v>18</v>
      </c>
      <c r="E1089" s="5" t="s">
        <v>159</v>
      </c>
      <c r="F1089" s="4" t="s">
        <v>1909</v>
      </c>
      <c r="G1089" s="19" t="str">
        <f>HYPERLINK("https://www.petaindia.com/blog/peta-india-awarded-custody-of-17-horses-used-for-illegal-rides/","Peta India")</f>
        <v>Peta India</v>
      </c>
      <c r="H1089" s="6" t="s">
        <v>272</v>
      </c>
      <c r="I1089" s="5" t="s">
        <v>305</v>
      </c>
      <c r="J1089" s="5" t="s">
        <v>1788</v>
      </c>
      <c r="K1089" s="5" t="s">
        <v>1430</v>
      </c>
    </row>
    <row r="1090" spans="2:11" ht="15.75" hidden="1" customHeight="1" x14ac:dyDescent="0.2">
      <c r="B1090" s="4" t="s">
        <v>1435</v>
      </c>
      <c r="C1090" s="4" t="s">
        <v>1908</v>
      </c>
      <c r="D1090" s="4" t="s">
        <v>18</v>
      </c>
      <c r="E1090" s="5" t="s">
        <v>5</v>
      </c>
      <c r="F1090" s="4" t="s">
        <v>1907</v>
      </c>
      <c r="G1090" s="19" t="str">
        <f>HYPERLINK("https://timesofindia.indiatimes.com/city/thane/activists-along-with-cops-stop-illegal-bullock-cart-racing-in-thane/articleshow/66810396.cms","News")</f>
        <v>News</v>
      </c>
      <c r="H1090" s="6" t="s">
        <v>3</v>
      </c>
      <c r="I1090" s="5" t="s">
        <v>305</v>
      </c>
      <c r="J1090" s="5" t="s">
        <v>1700</v>
      </c>
      <c r="K1090" s="5" t="s">
        <v>34</v>
      </c>
    </row>
    <row r="1091" spans="2:11" ht="15.75" hidden="1" customHeight="1" x14ac:dyDescent="0.2">
      <c r="B1091" s="4" t="s">
        <v>1435</v>
      </c>
      <c r="C1091" s="4" t="s">
        <v>1906</v>
      </c>
      <c r="D1091" s="4" t="s">
        <v>94</v>
      </c>
      <c r="E1091" s="5" t="s">
        <v>159</v>
      </c>
      <c r="F1091" s="4" t="s">
        <v>1905</v>
      </c>
      <c r="G1091" s="19" t="str">
        <f>HYPERLINK("https://www.facebook.com/photo.php?fbid=2891411340885180&amp;set=gm.2013481455384408&amp;type=3&amp;theater&amp;ifg=1","Facebook")</f>
        <v>Facebook</v>
      </c>
      <c r="H1091" s="6" t="s">
        <v>11</v>
      </c>
      <c r="I1091" s="5" t="s">
        <v>305</v>
      </c>
      <c r="J1091" s="5" t="s">
        <v>1788</v>
      </c>
      <c r="K1091" s="5" t="s">
        <v>840</v>
      </c>
    </row>
    <row r="1092" spans="2:11" ht="15.75" hidden="1" customHeight="1" x14ac:dyDescent="0.2">
      <c r="B1092" s="4" t="s">
        <v>1435</v>
      </c>
      <c r="C1092" s="6" t="s">
        <v>1904</v>
      </c>
      <c r="D1092" s="4" t="s">
        <v>77</v>
      </c>
      <c r="E1092" s="5" t="s">
        <v>159</v>
      </c>
      <c r="F1092" s="4" t="s">
        <v>1903</v>
      </c>
      <c r="G1092" s="19" t="str">
        <f>HYPERLINK("https://www.facebook.com/groups/thepound/permalink/2569998413010642/","Facebook")</f>
        <v>Facebook</v>
      </c>
      <c r="H1092" s="6" t="s">
        <v>11</v>
      </c>
      <c r="I1092" s="5" t="s">
        <v>305</v>
      </c>
      <c r="J1092" s="5" t="s">
        <v>1485</v>
      </c>
      <c r="K1092" s="5" t="s">
        <v>1430</v>
      </c>
    </row>
    <row r="1093" spans="2:11" ht="15.75" hidden="1" customHeight="1" x14ac:dyDescent="0.2">
      <c r="B1093" s="4" t="s">
        <v>1435</v>
      </c>
      <c r="C1093" s="4" t="s">
        <v>228</v>
      </c>
      <c r="D1093" s="4" t="s">
        <v>36</v>
      </c>
      <c r="E1093" s="5" t="s">
        <v>159</v>
      </c>
      <c r="F1093" s="4" t="s">
        <v>1902</v>
      </c>
      <c r="G1093" s="19" t="str">
        <f>HYPERLINK("https://www.facebook.com/helpanimalsindia/videos/1710100632385676/","Facebook")</f>
        <v>Facebook</v>
      </c>
      <c r="H1093" s="6" t="s">
        <v>11</v>
      </c>
      <c r="I1093" s="5" t="s">
        <v>305</v>
      </c>
      <c r="J1093" s="5" t="s">
        <v>1485</v>
      </c>
      <c r="K1093" s="5" t="s">
        <v>1430</v>
      </c>
    </row>
    <row r="1094" spans="2:11" ht="15.75" hidden="1" customHeight="1" x14ac:dyDescent="0.2">
      <c r="B1094" s="4" t="s">
        <v>1435</v>
      </c>
      <c r="C1094" s="4" t="s">
        <v>1901</v>
      </c>
      <c r="D1094" s="4" t="s">
        <v>28</v>
      </c>
      <c r="E1094" s="5" t="s">
        <v>159</v>
      </c>
      <c r="F1094" s="4" t="s">
        <v>1900</v>
      </c>
      <c r="G1094" s="19" t="str">
        <f>HYPERLINK("https://timesofindia.indiatimes.com/city/vadodara/donkey-work-to-become-lighter-in-pavagadh/articleshow/63720971.cms","News")</f>
        <v>News</v>
      </c>
      <c r="H1094" s="6" t="s">
        <v>3</v>
      </c>
      <c r="I1094" s="5" t="s">
        <v>305</v>
      </c>
      <c r="J1094" s="5" t="s">
        <v>1788</v>
      </c>
      <c r="K1094" s="5" t="s">
        <v>639</v>
      </c>
    </row>
    <row r="1095" spans="2:11" ht="15.75" hidden="1" customHeight="1" x14ac:dyDescent="0.2">
      <c r="B1095" s="4" t="s">
        <v>1435</v>
      </c>
      <c r="C1095" s="4" t="s">
        <v>1899</v>
      </c>
      <c r="D1095" s="4" t="s">
        <v>150</v>
      </c>
      <c r="E1095" s="5" t="s">
        <v>159</v>
      </c>
      <c r="F1095" s="4" t="s">
        <v>1898</v>
      </c>
      <c r="G1095" s="19" t="str">
        <f>HYPERLINK("https://www.facebook.com/photo.php?fbid=1781007431994355&amp;set=pcb.1875277299204825&amp;type=3&amp;theater&amp;ifg=1","Facebook")</f>
        <v>Facebook</v>
      </c>
      <c r="H1095" s="6" t="s">
        <v>11</v>
      </c>
      <c r="I1095" s="5" t="s">
        <v>305</v>
      </c>
      <c r="J1095" s="5" t="s">
        <v>1439</v>
      </c>
      <c r="K1095" s="5" t="s">
        <v>19</v>
      </c>
    </row>
    <row r="1096" spans="2:11" ht="15.75" hidden="1" customHeight="1" x14ac:dyDescent="0.2">
      <c r="B1096" s="4" t="s">
        <v>1435</v>
      </c>
      <c r="C1096" s="6" t="s">
        <v>228</v>
      </c>
      <c r="D1096" s="6" t="s">
        <v>36</v>
      </c>
      <c r="E1096" s="18" t="s">
        <v>17</v>
      </c>
      <c r="F1096" s="4" t="s">
        <v>1897</v>
      </c>
      <c r="G1096" s="19" t="s">
        <v>273</v>
      </c>
      <c r="H1096" s="6" t="s">
        <v>272</v>
      </c>
      <c r="I1096" s="5" t="s">
        <v>305</v>
      </c>
      <c r="J1096" s="5" t="s">
        <v>92</v>
      </c>
      <c r="K1096" s="5" t="s">
        <v>57</v>
      </c>
    </row>
    <row r="1097" spans="2:11" ht="15.75" hidden="1" customHeight="1" x14ac:dyDescent="0.2">
      <c r="B1097" s="4" t="s">
        <v>1435</v>
      </c>
      <c r="C1097" s="4" t="s">
        <v>1896</v>
      </c>
      <c r="D1097" s="4" t="s">
        <v>267</v>
      </c>
      <c r="E1097" s="5" t="s">
        <v>159</v>
      </c>
      <c r="F1097" s="4" t="s">
        <v>1895</v>
      </c>
      <c r="G1097" s="19" t="str">
        <f>HYPERLINK("https://www.youtube.com/watch?v=kqosAC6X7ic","Youtube (News)")</f>
        <v>Youtube (News)</v>
      </c>
      <c r="H1097" s="6" t="s">
        <v>3</v>
      </c>
      <c r="I1097" s="5" t="s">
        <v>305</v>
      </c>
      <c r="J1097" s="5" t="s">
        <v>1439</v>
      </c>
      <c r="K1097" s="5" t="s">
        <v>955</v>
      </c>
    </row>
    <row r="1098" spans="2:11" ht="15.75" hidden="1" customHeight="1" x14ac:dyDescent="0.2">
      <c r="B1098" s="4" t="s">
        <v>1435</v>
      </c>
      <c r="C1098" s="4" t="s">
        <v>104</v>
      </c>
      <c r="D1098" s="4" t="s">
        <v>18</v>
      </c>
      <c r="E1098" s="5" t="s">
        <v>159</v>
      </c>
      <c r="F1098" s="4" t="s">
        <v>1894</v>
      </c>
      <c r="G1098" s="19" t="str">
        <f>HYPERLINK("https://www.facebook.com/madhu.chanda.507/videos/pcb.2477729168920650/2477726225587611/?type=3&amp;theater","Facebook")</f>
        <v>Facebook</v>
      </c>
      <c r="H1098" s="6" t="s">
        <v>11</v>
      </c>
      <c r="I1098" s="5" t="s">
        <v>305</v>
      </c>
      <c r="J1098" s="5" t="s">
        <v>1788</v>
      </c>
      <c r="K1098" s="5" t="s">
        <v>1430</v>
      </c>
    </row>
    <row r="1099" spans="2:11" ht="15.75" hidden="1" customHeight="1" x14ac:dyDescent="0.2">
      <c r="B1099" s="4" t="s">
        <v>1435</v>
      </c>
      <c r="C1099" s="4" t="s">
        <v>1893</v>
      </c>
      <c r="D1099" s="4" t="s">
        <v>42</v>
      </c>
      <c r="E1099" s="5" t="s">
        <v>159</v>
      </c>
      <c r="F1099" s="4" t="s">
        <v>1892</v>
      </c>
      <c r="G1099" s="19" t="str">
        <f>HYPERLINK("https://www.facebook.com/pooja.bahukhandi.3/posts/1135006019994293","Facebook")</f>
        <v>Facebook</v>
      </c>
      <c r="H1099" s="6" t="s">
        <v>11</v>
      </c>
      <c r="I1099" s="5" t="s">
        <v>305</v>
      </c>
      <c r="J1099" s="5" t="s">
        <v>1788</v>
      </c>
      <c r="K1099" s="5" t="s">
        <v>1430</v>
      </c>
    </row>
    <row r="1100" spans="2:11" ht="15.75" hidden="1" customHeight="1" x14ac:dyDescent="0.2">
      <c r="B1100" s="4" t="s">
        <v>1435</v>
      </c>
      <c r="C1100" s="4" t="s">
        <v>1891</v>
      </c>
      <c r="D1100" s="4" t="s">
        <v>47</v>
      </c>
      <c r="E1100" s="5" t="s">
        <v>159</v>
      </c>
      <c r="F1100" s="4" t="s">
        <v>1890</v>
      </c>
      <c r="G1100" s="19" t="s">
        <v>1467</v>
      </c>
      <c r="H1100" s="6" t="s">
        <v>11</v>
      </c>
      <c r="I1100" s="5" t="s">
        <v>305</v>
      </c>
      <c r="J1100" s="5" t="s">
        <v>1788</v>
      </c>
      <c r="K1100" s="5" t="s">
        <v>1430</v>
      </c>
    </row>
    <row r="1101" spans="2:11" ht="15.75" hidden="1" customHeight="1" x14ac:dyDescent="0.2">
      <c r="B1101" s="4" t="s">
        <v>1435</v>
      </c>
      <c r="C1101" s="4" t="s">
        <v>1889</v>
      </c>
      <c r="D1101" s="4" t="s">
        <v>236</v>
      </c>
      <c r="E1101" s="5" t="s">
        <v>159</v>
      </c>
      <c r="F1101" s="4" t="s">
        <v>1888</v>
      </c>
      <c r="G1101" s="19" t="str">
        <f>HYPERLINK("https://www.heraldgoa.in/Goa/Bullfight-held-in-field-along-NuvemArlem-bypass/140659","News")</f>
        <v>News</v>
      </c>
      <c r="H1101" s="6" t="s">
        <v>3</v>
      </c>
      <c r="I1101" s="5" t="s">
        <v>305</v>
      </c>
      <c r="J1101" s="5" t="s">
        <v>1700</v>
      </c>
      <c r="K1101" s="5" t="s">
        <v>34</v>
      </c>
    </row>
    <row r="1102" spans="2:11" ht="15.75" hidden="1" customHeight="1" x14ac:dyDescent="0.2">
      <c r="B1102" s="4" t="s">
        <v>1435</v>
      </c>
      <c r="C1102" s="4" t="s">
        <v>1887</v>
      </c>
      <c r="D1102" s="4" t="s">
        <v>77</v>
      </c>
      <c r="E1102" s="5" t="s">
        <v>5</v>
      </c>
      <c r="F1102" s="4" t="s">
        <v>1886</v>
      </c>
      <c r="G1102" s="19" t="s">
        <v>1445</v>
      </c>
      <c r="H1102" s="6" t="s">
        <v>272</v>
      </c>
      <c r="I1102" s="5" t="s">
        <v>305</v>
      </c>
      <c r="J1102" s="5" t="s">
        <v>1700</v>
      </c>
      <c r="K1102" s="5" t="s">
        <v>34</v>
      </c>
    </row>
    <row r="1103" spans="2:11" ht="15.75" hidden="1" customHeight="1" x14ac:dyDescent="0.2">
      <c r="B1103" s="4" t="s">
        <v>1435</v>
      </c>
      <c r="C1103" s="4" t="s">
        <v>1885</v>
      </c>
      <c r="D1103" s="4" t="s">
        <v>267</v>
      </c>
      <c r="E1103" s="5" t="s">
        <v>159</v>
      </c>
      <c r="F1103" s="4" t="s">
        <v>1884</v>
      </c>
      <c r="G1103" s="19" t="str">
        <f>HYPERLINK("https://www.youtube.com/watch?v=pC6KNPmxYa4","Youtube ")</f>
        <v xml:space="preserve">Youtube </v>
      </c>
      <c r="H1103" s="6" t="s">
        <v>3</v>
      </c>
      <c r="I1103" s="5" t="s">
        <v>305</v>
      </c>
      <c r="J1103" s="5" t="s">
        <v>1700</v>
      </c>
      <c r="K1103" s="5" t="s">
        <v>34</v>
      </c>
    </row>
    <row r="1104" spans="2:11" ht="15.75" hidden="1" customHeight="1" x14ac:dyDescent="0.2">
      <c r="B1104" s="4" t="s">
        <v>1435</v>
      </c>
      <c r="C1104" s="5" t="s">
        <v>1209</v>
      </c>
      <c r="D1104" s="5" t="s">
        <v>42</v>
      </c>
      <c r="E1104" s="5" t="s">
        <v>5</v>
      </c>
      <c r="F1104" s="4" t="s">
        <v>1883</v>
      </c>
      <c r="G1104" s="14" t="s">
        <v>11</v>
      </c>
      <c r="H1104" s="6" t="s">
        <v>11</v>
      </c>
      <c r="I1104" s="5" t="s">
        <v>10</v>
      </c>
      <c r="J1104" s="5" t="s">
        <v>1882</v>
      </c>
      <c r="K1104" s="5" t="s">
        <v>57</v>
      </c>
    </row>
    <row r="1105" spans="2:11" ht="15.75" hidden="1" customHeight="1" x14ac:dyDescent="0.2">
      <c r="B1105" s="4" t="s">
        <v>1435</v>
      </c>
      <c r="C1105" s="6" t="s">
        <v>95</v>
      </c>
      <c r="D1105" s="6" t="s">
        <v>94</v>
      </c>
      <c r="E1105" s="18" t="s">
        <v>159</v>
      </c>
      <c r="F1105" s="4" t="s">
        <v>1881</v>
      </c>
      <c r="G1105" s="19" t="s">
        <v>272</v>
      </c>
      <c r="H1105" s="6">
        <v>19</v>
      </c>
      <c r="I1105" s="5" t="s">
        <v>305</v>
      </c>
      <c r="J1105" s="5" t="s">
        <v>1788</v>
      </c>
      <c r="K1105" s="5" t="s">
        <v>639</v>
      </c>
    </row>
    <row r="1106" spans="2:11" ht="15.75" hidden="1" customHeight="1" x14ac:dyDescent="0.2">
      <c r="B1106" s="4" t="s">
        <v>1435</v>
      </c>
      <c r="C1106" s="4" t="s">
        <v>111</v>
      </c>
      <c r="D1106" s="4" t="s">
        <v>24</v>
      </c>
      <c r="E1106" s="5" t="s">
        <v>55</v>
      </c>
      <c r="F1106" s="4" t="s">
        <v>1880</v>
      </c>
      <c r="G1106" s="19" t="str">
        <f>HYPERLINK("https://www.siasat.com/hyderabad-couple-booked-using-son-baby-monkey-beg-1715118/","News")</f>
        <v>News</v>
      </c>
      <c r="H1106" s="6" t="s">
        <v>3</v>
      </c>
      <c r="I1106" s="5" t="s">
        <v>305</v>
      </c>
      <c r="J1106" s="5" t="s">
        <v>1439</v>
      </c>
      <c r="K1106" s="5" t="s">
        <v>19</v>
      </c>
    </row>
    <row r="1107" spans="2:11" ht="15.75" hidden="1" customHeight="1" x14ac:dyDescent="0.2">
      <c r="B1107" s="4" t="s">
        <v>1435</v>
      </c>
      <c r="C1107" s="6"/>
      <c r="D1107" s="6"/>
      <c r="E1107" s="5" t="s">
        <v>159</v>
      </c>
      <c r="F1107" s="4" t="s">
        <v>1879</v>
      </c>
      <c r="G1107" s="19" t="s">
        <v>1878</v>
      </c>
      <c r="H1107" s="6" t="s">
        <v>272</v>
      </c>
      <c r="I1107" s="5" t="s">
        <v>305</v>
      </c>
      <c r="J1107" s="5" t="s">
        <v>1788</v>
      </c>
      <c r="K1107" s="5" t="s">
        <v>639</v>
      </c>
    </row>
    <row r="1108" spans="2:11" ht="15.75" hidden="1" customHeight="1" x14ac:dyDescent="0.2">
      <c r="B1108" s="4" t="s">
        <v>1435</v>
      </c>
      <c r="C1108" s="6"/>
      <c r="D1108" s="4" t="s">
        <v>236</v>
      </c>
      <c r="E1108" s="5" t="s">
        <v>159</v>
      </c>
      <c r="F1108" s="4" t="s">
        <v>1877</v>
      </c>
      <c r="G1108" s="19" t="str">
        <f>HYPERLINK("https://www.facebook.com/groups/317699935646466/permalink/577672289649228/","Facebook")</f>
        <v>Facebook</v>
      </c>
      <c r="H1108" s="6" t="s">
        <v>11</v>
      </c>
      <c r="I1108" s="5" t="s">
        <v>305</v>
      </c>
      <c r="J1108" s="5" t="s">
        <v>1700</v>
      </c>
      <c r="K1108" s="5" t="s">
        <v>34</v>
      </c>
    </row>
    <row r="1109" spans="2:11" ht="15.75" hidden="1" customHeight="1" x14ac:dyDescent="0.2">
      <c r="B1109" s="4" t="s">
        <v>1435</v>
      </c>
      <c r="C1109" s="4" t="s">
        <v>1876</v>
      </c>
      <c r="D1109" s="4" t="s">
        <v>267</v>
      </c>
      <c r="E1109" s="5" t="s">
        <v>159</v>
      </c>
      <c r="F1109" s="4" t="s">
        <v>1875</v>
      </c>
      <c r="G1109" s="19" t="str">
        <f>HYPERLINK("https://www.youtube.com/watch?v=dx_kIUOr00o","Youtube")</f>
        <v>Youtube</v>
      </c>
      <c r="H1109" s="6" t="s">
        <v>3</v>
      </c>
      <c r="I1109" s="5" t="s">
        <v>305</v>
      </c>
      <c r="J1109" s="5" t="s">
        <v>1700</v>
      </c>
      <c r="K1109" s="5" t="s">
        <v>1874</v>
      </c>
    </row>
    <row r="1110" spans="2:11" ht="15.75" hidden="1" customHeight="1" x14ac:dyDescent="0.2">
      <c r="B1110" s="4" t="s">
        <v>1435</v>
      </c>
      <c r="C1110" s="4" t="s">
        <v>1873</v>
      </c>
      <c r="D1110" s="4" t="s">
        <v>47</v>
      </c>
      <c r="E1110" s="5" t="s">
        <v>5</v>
      </c>
      <c r="F1110" s="4" t="s">
        <v>1872</v>
      </c>
      <c r="G1110" s="19" t="str">
        <f>HYPERLINK("https://www.business-standard.com/article/news-ians/despite-ban-assam-district-witnesses-buffalo-fights-as-part-of-bihu-celebrations-119011601237_1.html","News")</f>
        <v>News</v>
      </c>
      <c r="H1110" s="6" t="s">
        <v>3</v>
      </c>
      <c r="I1110" s="5" t="s">
        <v>305</v>
      </c>
      <c r="J1110" s="5" t="s">
        <v>1700</v>
      </c>
      <c r="K1110" s="5" t="s">
        <v>34</v>
      </c>
    </row>
    <row r="1111" spans="2:11" ht="15.75" hidden="1" customHeight="1" x14ac:dyDescent="0.2">
      <c r="B1111" s="4" t="s">
        <v>1435</v>
      </c>
      <c r="C1111" s="4" t="s">
        <v>1871</v>
      </c>
      <c r="D1111" s="4" t="s">
        <v>77</v>
      </c>
      <c r="E1111" s="5" t="s">
        <v>5</v>
      </c>
      <c r="F1111" s="4" t="s">
        <v>1870</v>
      </c>
      <c r="G1111" s="19" t="s">
        <v>3</v>
      </c>
      <c r="H1111" s="6" t="s">
        <v>3</v>
      </c>
      <c r="I1111" s="5" t="s">
        <v>305</v>
      </c>
      <c r="J1111" s="5" t="s">
        <v>1700</v>
      </c>
      <c r="K1111" s="5" t="s">
        <v>34</v>
      </c>
    </row>
    <row r="1112" spans="2:11" ht="15.75" hidden="1" customHeight="1" x14ac:dyDescent="0.2">
      <c r="B1112" s="4" t="s">
        <v>1435</v>
      </c>
      <c r="C1112" s="4" t="s">
        <v>1869</v>
      </c>
      <c r="D1112" s="4" t="s">
        <v>88</v>
      </c>
      <c r="E1112" s="5" t="s">
        <v>159</v>
      </c>
      <c r="F1112" s="4" t="s">
        <v>1868</v>
      </c>
      <c r="G1112" s="19" t="str">
        <f>HYPERLINK("https://www.independent.co.uk/news/world/asia/india-elephant-firebombs-human-conflict-crops-endangered-bishnupur-a8730261.html","News")</f>
        <v>News</v>
      </c>
      <c r="H1112" s="6" t="s">
        <v>3</v>
      </c>
      <c r="I1112" s="5" t="s">
        <v>86</v>
      </c>
      <c r="J1112" s="5" t="s">
        <v>15</v>
      </c>
      <c r="K1112" s="5" t="s">
        <v>64</v>
      </c>
    </row>
    <row r="1113" spans="2:11" ht="15.75" hidden="1" customHeight="1" x14ac:dyDescent="0.2">
      <c r="B1113" s="4" t="s">
        <v>1435</v>
      </c>
      <c r="C1113" s="4" t="s">
        <v>1867</v>
      </c>
      <c r="D1113" s="4" t="s">
        <v>36</v>
      </c>
      <c r="E1113" s="5" t="s">
        <v>159</v>
      </c>
      <c r="F1113" s="4" t="s">
        <v>1866</v>
      </c>
      <c r="G1113" s="19" t="s">
        <v>3</v>
      </c>
      <c r="H1113" s="6" t="s">
        <v>3</v>
      </c>
      <c r="I1113" s="5" t="s">
        <v>305</v>
      </c>
      <c r="J1113" s="5" t="s">
        <v>1686</v>
      </c>
      <c r="K1113" s="5" t="s">
        <v>57</v>
      </c>
    </row>
    <row r="1114" spans="2:11" ht="15.75" hidden="1" customHeight="1" x14ac:dyDescent="0.2">
      <c r="B1114" s="4" t="s">
        <v>1435</v>
      </c>
      <c r="C1114" s="4" t="s">
        <v>1865</v>
      </c>
      <c r="D1114" s="4" t="s">
        <v>36</v>
      </c>
      <c r="E1114" s="5" t="s">
        <v>159</v>
      </c>
      <c r="F1114" s="4" t="s">
        <v>1864</v>
      </c>
      <c r="G1114" s="19" t="str">
        <f>HYPERLINK("https://www.petaindia.com/blog/peta-india-investigation-of-bullock-cart-races-in-mysuru-reveals-rampant-cruelty-and-injured-bulls/","Peta India")</f>
        <v>Peta India</v>
      </c>
      <c r="H1114" s="6" t="s">
        <v>272</v>
      </c>
      <c r="I1114" s="5" t="s">
        <v>305</v>
      </c>
      <c r="J1114" s="5" t="s">
        <v>1700</v>
      </c>
      <c r="K1114" s="5" t="s">
        <v>34</v>
      </c>
    </row>
    <row r="1115" spans="2:11" ht="15.75" hidden="1" customHeight="1" x14ac:dyDescent="0.2">
      <c r="B1115" s="4" t="s">
        <v>1435</v>
      </c>
      <c r="C1115" s="4" t="s">
        <v>130</v>
      </c>
      <c r="D1115" s="4" t="s">
        <v>77</v>
      </c>
      <c r="E1115" s="18" t="s">
        <v>159</v>
      </c>
      <c r="F1115" s="4" t="s">
        <v>1863</v>
      </c>
      <c r="G1115" s="19" t="str">
        <f>HYPERLINK("https://timesofindia.indiatimes.com/city/madurai/denied-permission-for-rekla-group-races-horse-carts/articleshow/67583342.cms","News")</f>
        <v>News</v>
      </c>
      <c r="H1115" s="6" t="s">
        <v>3</v>
      </c>
      <c r="I1115" s="5" t="s">
        <v>305</v>
      </c>
      <c r="J1115" s="5" t="s">
        <v>1700</v>
      </c>
      <c r="K1115" s="5" t="s">
        <v>1430</v>
      </c>
    </row>
    <row r="1116" spans="2:11" ht="15.75" hidden="1" customHeight="1" x14ac:dyDescent="0.2">
      <c r="B1116" s="4" t="s">
        <v>1435</v>
      </c>
      <c r="C1116" s="4" t="s">
        <v>1862</v>
      </c>
      <c r="D1116" s="4" t="s">
        <v>77</v>
      </c>
      <c r="E1116" s="5" t="s">
        <v>159</v>
      </c>
      <c r="F1116" s="4" t="s">
        <v>1861</v>
      </c>
      <c r="G1116" s="19" t="str">
        <f>HYPERLINK("https://timesofindia.indiatimes.com/city/chennai/villain-bull-dies-after-suffering-injuries-during-manju-virattu-event-in-tn-village/articleshow/67591456.cms","News")</f>
        <v>News</v>
      </c>
      <c r="H1116" s="6" t="s">
        <v>3</v>
      </c>
      <c r="I1116" s="5" t="s">
        <v>305</v>
      </c>
      <c r="J1116" s="5" t="s">
        <v>1700</v>
      </c>
      <c r="K1116" s="5" t="s">
        <v>34</v>
      </c>
    </row>
    <row r="1117" spans="2:11" ht="15.75" hidden="1" customHeight="1" x14ac:dyDescent="0.2">
      <c r="B1117" s="4" t="s">
        <v>1435</v>
      </c>
      <c r="C1117" s="4" t="s">
        <v>1860</v>
      </c>
      <c r="D1117" s="4" t="s">
        <v>18</v>
      </c>
      <c r="E1117" s="5" t="s">
        <v>23</v>
      </c>
      <c r="F1117" s="4" t="s">
        <v>1859</v>
      </c>
      <c r="G1117" s="19" t="str">
        <f>HYPERLINK("https://www.animalrahat.com/latest-news/after-a-crackdown-on-rampant-abuse-a-sugarcane-factory-pledges-to-go-bullock-free/","Animal Rahat")</f>
        <v>Animal Rahat</v>
      </c>
      <c r="H1117" s="6" t="s">
        <v>1620</v>
      </c>
      <c r="I1117" s="5" t="s">
        <v>305</v>
      </c>
      <c r="J1117" s="5" t="s">
        <v>1788</v>
      </c>
      <c r="K1117" s="5" t="s">
        <v>34</v>
      </c>
    </row>
    <row r="1118" spans="2:11" ht="15.75" hidden="1" customHeight="1" x14ac:dyDescent="0.2">
      <c r="B1118" s="4" t="s">
        <v>1435</v>
      </c>
      <c r="C1118" s="4" t="s">
        <v>72</v>
      </c>
      <c r="D1118" s="4" t="s">
        <v>71</v>
      </c>
      <c r="E1118" s="18" t="s">
        <v>159</v>
      </c>
      <c r="F1118" s="4" t="s">
        <v>1858</v>
      </c>
      <c r="G1118" s="19" t="str">
        <f>HYPERLINK("https://www.facebook.com/asswinproject/posts/2349105701786532","Facebook (The Asswin Project)")</f>
        <v>Facebook (The Asswin Project)</v>
      </c>
      <c r="H1118" s="6" t="s">
        <v>272</v>
      </c>
      <c r="I1118" s="5" t="s">
        <v>305</v>
      </c>
      <c r="J1118" s="5" t="s">
        <v>1485</v>
      </c>
      <c r="K1118" s="5" t="s">
        <v>1430</v>
      </c>
    </row>
    <row r="1119" spans="2:11" ht="15.75" hidden="1" customHeight="1" x14ac:dyDescent="0.2">
      <c r="B1119" s="4" t="s">
        <v>1435</v>
      </c>
      <c r="C1119" s="4" t="s">
        <v>1857</v>
      </c>
      <c r="D1119" s="4" t="s">
        <v>236</v>
      </c>
      <c r="E1119" s="5" t="s">
        <v>23</v>
      </c>
      <c r="F1119" s="4" t="s">
        <v>1856</v>
      </c>
      <c r="G1119" s="19" t="str">
        <f>HYPERLINK("https://www.heraldgoa.in/Goa/Bullfight-held-at-Benaulim-another-fixed-at-Seraulim-today/141521","News")</f>
        <v>News</v>
      </c>
      <c r="H1119" s="6" t="s">
        <v>3</v>
      </c>
      <c r="I1119" s="5" t="s">
        <v>305</v>
      </c>
      <c r="J1119" s="5" t="s">
        <v>1700</v>
      </c>
      <c r="K1119" s="5" t="s">
        <v>34</v>
      </c>
    </row>
    <row r="1120" spans="2:11" ht="15.75" hidden="1" customHeight="1" x14ac:dyDescent="0.2">
      <c r="B1120" s="4" t="s">
        <v>1435</v>
      </c>
      <c r="C1120" s="6" t="s">
        <v>676</v>
      </c>
      <c r="D1120" s="6" t="s">
        <v>28</v>
      </c>
      <c r="E1120" s="18" t="s">
        <v>159</v>
      </c>
      <c r="F1120" s="4" t="s">
        <v>1855</v>
      </c>
      <c r="G1120" s="19" t="s">
        <v>11</v>
      </c>
      <c r="H1120" s="6" t="s">
        <v>11</v>
      </c>
      <c r="I1120" s="5" t="s">
        <v>305</v>
      </c>
      <c r="J1120" s="5" t="s">
        <v>1485</v>
      </c>
      <c r="K1120" s="5" t="s">
        <v>57</v>
      </c>
    </row>
    <row r="1121" spans="2:11" ht="15.75" hidden="1" customHeight="1" x14ac:dyDescent="0.2">
      <c r="B1121" s="4" t="s">
        <v>1435</v>
      </c>
      <c r="C1121" s="6" t="s">
        <v>676</v>
      </c>
      <c r="D1121" s="6" t="s">
        <v>28</v>
      </c>
      <c r="E1121" s="18" t="s">
        <v>159</v>
      </c>
      <c r="F1121" s="4" t="s">
        <v>1854</v>
      </c>
      <c r="G1121" s="19" t="s">
        <v>11</v>
      </c>
      <c r="H1121" s="6" t="s">
        <v>11</v>
      </c>
      <c r="I1121" s="5" t="s">
        <v>305</v>
      </c>
      <c r="J1121" s="5" t="s">
        <v>1788</v>
      </c>
      <c r="K1121" s="5" t="s">
        <v>1430</v>
      </c>
    </row>
    <row r="1122" spans="2:11" ht="15.75" hidden="1" customHeight="1" x14ac:dyDescent="0.2">
      <c r="B1122" s="4" t="s">
        <v>1435</v>
      </c>
      <c r="C1122" s="4" t="s">
        <v>1853</v>
      </c>
      <c r="D1122" s="4" t="s">
        <v>77</v>
      </c>
      <c r="E1122" s="5" t="s">
        <v>159</v>
      </c>
      <c r="F1122" s="4" t="s">
        <v>1852</v>
      </c>
      <c r="G1122" s="19" t="str">
        <f>HYPERLINK("https://www.theweek.in/news/india/2019/01/21/jallikattu-pudukottai-bulls-world-record.html","News")</f>
        <v>News</v>
      </c>
      <c r="H1122" s="6" t="s">
        <v>3</v>
      </c>
      <c r="I1122" s="5" t="s">
        <v>305</v>
      </c>
      <c r="J1122" s="5" t="s">
        <v>1700</v>
      </c>
      <c r="K1122" s="5" t="s">
        <v>34</v>
      </c>
    </row>
    <row r="1123" spans="2:11" ht="15.75" hidden="1" customHeight="1" x14ac:dyDescent="0.2">
      <c r="B1123" s="4" t="s">
        <v>1435</v>
      </c>
      <c r="C1123" s="4" t="s">
        <v>1390</v>
      </c>
      <c r="D1123" s="4" t="s">
        <v>24</v>
      </c>
      <c r="E1123" s="5" t="s">
        <v>159</v>
      </c>
      <c r="F1123" s="4" t="s">
        <v>1851</v>
      </c>
      <c r="G1123" s="19" t="str">
        <f>HYPERLINK("https://www.newindianexpress.com/states/telangana/2019/jan/21/langurs-join-monkeys-they-were-meant-to-shoo-away-1927933.html","News")</f>
        <v>News</v>
      </c>
      <c r="H1123" s="6" t="s">
        <v>3</v>
      </c>
      <c r="I1123" s="5" t="s">
        <v>305</v>
      </c>
      <c r="J1123" s="5" t="s">
        <v>1439</v>
      </c>
      <c r="K1123" s="5" t="s">
        <v>955</v>
      </c>
    </row>
    <row r="1124" spans="2:11" ht="15.75" hidden="1" customHeight="1" x14ac:dyDescent="0.2">
      <c r="B1124" s="4" t="s">
        <v>1435</v>
      </c>
      <c r="C1124" s="4" t="s">
        <v>1850</v>
      </c>
      <c r="D1124" s="4" t="s">
        <v>18</v>
      </c>
      <c r="E1124" s="5" t="s">
        <v>23</v>
      </c>
      <c r="F1124" s="4" t="s">
        <v>1849</v>
      </c>
      <c r="G1124" s="19" t="str">
        <f>HYPERLINK("https://punemirror.indiatimes.com/videos/sectionhomelist/spoke-in-wheels-of-bullock-cart-races-after-trenches-dug-on-nagapur-tracks/videoshow/67643800.cms","News")</f>
        <v>News</v>
      </c>
      <c r="H1124" s="6" t="s">
        <v>3</v>
      </c>
      <c r="I1124" s="5" t="s">
        <v>305</v>
      </c>
      <c r="J1124" s="5" t="s">
        <v>1700</v>
      </c>
      <c r="K1124" s="5" t="s">
        <v>34</v>
      </c>
    </row>
    <row r="1125" spans="2:11" ht="15.75" hidden="1" customHeight="1" x14ac:dyDescent="0.2">
      <c r="B1125" s="4" t="s">
        <v>1435</v>
      </c>
      <c r="C1125" s="4" t="s">
        <v>1848</v>
      </c>
      <c r="D1125" s="4" t="s">
        <v>77</v>
      </c>
      <c r="E1125" s="5" t="s">
        <v>5</v>
      </c>
      <c r="F1125" s="4" t="s">
        <v>1847</v>
      </c>
      <c r="G1125" s="19" t="str">
        <f>HYPERLINK("https://www.dtnext.in/News/TamilNadu/2019/01/24041621/1103905/Tragedy-strikes-Vaniyambadi-as-another-bull-dies-after-.vpf","News")</f>
        <v>News</v>
      </c>
      <c r="H1125" s="6" t="s">
        <v>3</v>
      </c>
      <c r="I1125" s="5" t="s">
        <v>305</v>
      </c>
      <c r="J1125" s="5" t="s">
        <v>1700</v>
      </c>
      <c r="K1125" s="5" t="s">
        <v>34</v>
      </c>
    </row>
    <row r="1126" spans="2:11" ht="15.75" hidden="1" customHeight="1" x14ac:dyDescent="0.2">
      <c r="B1126" s="4" t="s">
        <v>1435</v>
      </c>
      <c r="C1126" s="6" t="s">
        <v>999</v>
      </c>
      <c r="D1126" s="6" t="s">
        <v>77</v>
      </c>
      <c r="E1126" s="5" t="s">
        <v>159</v>
      </c>
      <c r="F1126" s="4" t="s">
        <v>1846</v>
      </c>
      <c r="G1126" s="19" t="str">
        <f>HYPERLINK("https://www.dtnext.in/News/TamilNadu/2019/01/24041621/1103905/Tragedy-strikes-Vaniyambadi-as-another-bull-dies-after-.vpf","News")</f>
        <v>News</v>
      </c>
      <c r="H1126" s="6" t="s">
        <v>3</v>
      </c>
      <c r="I1126" s="5" t="s">
        <v>305</v>
      </c>
      <c r="J1126" s="5" t="s">
        <v>1700</v>
      </c>
      <c r="K1126" s="5" t="s">
        <v>34</v>
      </c>
    </row>
    <row r="1127" spans="2:11" ht="15.75" hidden="1" customHeight="1" x14ac:dyDescent="0.2">
      <c r="B1127" s="4" t="s">
        <v>1435</v>
      </c>
      <c r="C1127" s="4" t="s">
        <v>201</v>
      </c>
      <c r="D1127" s="4" t="s">
        <v>154</v>
      </c>
      <c r="E1127" s="5" t="s">
        <v>159</v>
      </c>
      <c r="F1127" s="4" t="s">
        <v>1845</v>
      </c>
      <c r="G1127" s="19" t="str">
        <f>HYPERLINK("https://timesofindia.indiatimes.com/city/ludhiana/no-bullock-cart-race-at-kila-raipur-this-season/articleshow/68678051.cms","News")</f>
        <v>News</v>
      </c>
      <c r="H1127" s="6" t="s">
        <v>3</v>
      </c>
      <c r="I1127" s="5" t="s">
        <v>305</v>
      </c>
      <c r="J1127" s="5" t="s">
        <v>1528</v>
      </c>
      <c r="K1127" s="5" t="s">
        <v>0</v>
      </c>
    </row>
    <row r="1128" spans="2:11" ht="15.75" hidden="1" customHeight="1" x14ac:dyDescent="0.2">
      <c r="B1128" s="4" t="s">
        <v>1435</v>
      </c>
      <c r="C1128" s="6"/>
      <c r="D1128" s="6"/>
      <c r="E1128" s="5" t="s">
        <v>159</v>
      </c>
      <c r="F1128" s="4" t="s">
        <v>1844</v>
      </c>
      <c r="G1128" s="19" t="str">
        <f>HYPERLINK("https://www.petaindia.com/blog/peta-india-to-political-parties-follow-eci-model-code-of-conduct-banning-use-of-animals-in-election-campaigns/","PETA India")</f>
        <v>PETA India</v>
      </c>
      <c r="H1128" s="6" t="s">
        <v>272</v>
      </c>
      <c r="I1128" s="5" t="s">
        <v>305</v>
      </c>
      <c r="J1128" s="5" t="s">
        <v>1480</v>
      </c>
      <c r="K1128" s="5" t="s">
        <v>204</v>
      </c>
    </row>
    <row r="1129" spans="2:11" ht="15.75" hidden="1" customHeight="1" x14ac:dyDescent="0.2">
      <c r="B1129" s="4" t="s">
        <v>1435</v>
      </c>
      <c r="C1129" s="4" t="s">
        <v>1843</v>
      </c>
      <c r="D1129" s="4" t="s">
        <v>13</v>
      </c>
      <c r="E1129" s="5" t="s">
        <v>55</v>
      </c>
      <c r="F1129" s="4" t="s">
        <v>1842</v>
      </c>
      <c r="G1129" s="19" t="str">
        <f>HYPERLINK("https://indianexpress.com/elections/lok-sabha-elections-man-rides-donkey-to-file-nomination-invites-trouble-5706690/","News")</f>
        <v>News</v>
      </c>
      <c r="H1129" s="6" t="s">
        <v>3</v>
      </c>
      <c r="I1129" s="5" t="s">
        <v>305</v>
      </c>
      <c r="J1129" s="5" t="s">
        <v>1480</v>
      </c>
      <c r="K1129" s="5" t="s">
        <v>639</v>
      </c>
    </row>
    <row r="1130" spans="2:11" ht="15.75" hidden="1" customHeight="1" x14ac:dyDescent="0.2">
      <c r="B1130" s="4" t="s">
        <v>1435</v>
      </c>
      <c r="C1130" s="4" t="s">
        <v>1841</v>
      </c>
      <c r="D1130" s="4" t="s">
        <v>42</v>
      </c>
      <c r="E1130" s="5" t="s">
        <v>159</v>
      </c>
      <c r="F1130" s="4" t="s">
        <v>1840</v>
      </c>
      <c r="G1130" s="19" t="str">
        <f>HYPERLINK("https://www.hindustantimes.com/lok-sabha-elections/lok-sabha-elections-2019-it-s-fine-says-priyanka-gandhi-with-snake-in-hand-during-up-campaign/story-pBP9d2g2RZ14NU5dVQEkdP.html","News")</f>
        <v>News</v>
      </c>
      <c r="H1130" s="6" t="s">
        <v>3</v>
      </c>
      <c r="I1130" s="5" t="s">
        <v>305</v>
      </c>
      <c r="J1130" s="5" t="s">
        <v>1522</v>
      </c>
      <c r="K1130" s="5" t="s">
        <v>509</v>
      </c>
    </row>
    <row r="1131" spans="2:11" ht="15.75" hidden="1" customHeight="1" x14ac:dyDescent="0.2">
      <c r="B1131" s="4" t="s">
        <v>1435</v>
      </c>
      <c r="C1131" s="4" t="s">
        <v>228</v>
      </c>
      <c r="D1131" s="4" t="s">
        <v>36</v>
      </c>
      <c r="E1131" s="4" t="s">
        <v>17</v>
      </c>
      <c r="F1131" s="4" t="s">
        <v>1839</v>
      </c>
      <c r="G1131" s="19" t="str">
        <f>HYPERLINK("https://www.instagram.com/p/BzaZ5WnlVzz/","Instagram")</f>
        <v>Instagram</v>
      </c>
      <c r="H1131" s="6" t="s">
        <v>11</v>
      </c>
      <c r="I1131" s="5" t="s">
        <v>305</v>
      </c>
      <c r="J1131" s="5" t="s">
        <v>1788</v>
      </c>
      <c r="K1131" s="5" t="s">
        <v>1430</v>
      </c>
    </row>
    <row r="1132" spans="2:11" ht="15.75" hidden="1" customHeight="1" x14ac:dyDescent="0.2">
      <c r="B1132" s="4" t="s">
        <v>1435</v>
      </c>
      <c r="C1132" s="4" t="s">
        <v>1838</v>
      </c>
      <c r="D1132" s="4" t="s">
        <v>18</v>
      </c>
      <c r="E1132" s="4" t="s">
        <v>17</v>
      </c>
      <c r="F1132" s="4" t="s">
        <v>1837</v>
      </c>
      <c r="G1132" s="20" t="str">
        <f>HYPERLINK("https://www.animalrahat.com/video-once-run-nearly-to-death…/","Social Media/Website")</f>
        <v>Social Media/Website</v>
      </c>
      <c r="H1132" s="6" t="s">
        <v>11</v>
      </c>
      <c r="I1132" s="5" t="s">
        <v>1647</v>
      </c>
      <c r="J1132" s="5" t="s">
        <v>82</v>
      </c>
      <c r="K1132" s="5" t="s">
        <v>0</v>
      </c>
    </row>
    <row r="1133" spans="2:11" ht="15.75" hidden="1" customHeight="1" x14ac:dyDescent="0.2">
      <c r="B1133" s="4" t="s">
        <v>1435</v>
      </c>
      <c r="C1133" s="4" t="s">
        <v>1363</v>
      </c>
      <c r="D1133" s="4" t="s">
        <v>66</v>
      </c>
      <c r="E1133" s="5" t="s">
        <v>159</v>
      </c>
      <c r="F1133" s="4" t="s">
        <v>1836</v>
      </c>
      <c r="G1133" s="19" t="str">
        <f>HYPERLINK("https://www.petaindia.com/blog/captive-elephants-need-freedom-not-more-torture/","PETA India")</f>
        <v>PETA India</v>
      </c>
      <c r="H1133" s="6" t="s">
        <v>272</v>
      </c>
      <c r="I1133" s="5" t="s">
        <v>305</v>
      </c>
      <c r="J1133" s="5" t="s">
        <v>1439</v>
      </c>
      <c r="K1133" s="5" t="s">
        <v>64</v>
      </c>
    </row>
    <row r="1134" spans="2:11" ht="15.75" hidden="1" customHeight="1" x14ac:dyDescent="0.2">
      <c r="B1134" s="4" t="s">
        <v>1435</v>
      </c>
      <c r="C1134" s="4" t="s">
        <v>228</v>
      </c>
      <c r="D1134" s="4" t="s">
        <v>36</v>
      </c>
      <c r="E1134" s="5" t="s">
        <v>159</v>
      </c>
      <c r="F1134" s="4" t="s">
        <v>1835</v>
      </c>
      <c r="G1134" s="19" t="s">
        <v>329</v>
      </c>
      <c r="H1134" s="6" t="s">
        <v>272</v>
      </c>
      <c r="I1134" s="5" t="s">
        <v>305</v>
      </c>
      <c r="J1134" s="5" t="s">
        <v>1522</v>
      </c>
      <c r="K1134" s="5" t="s">
        <v>57</v>
      </c>
    </row>
    <row r="1135" spans="2:11" ht="15.75" hidden="1" customHeight="1" x14ac:dyDescent="0.2">
      <c r="B1135" s="4" t="s">
        <v>1435</v>
      </c>
      <c r="C1135" s="4" t="s">
        <v>1834</v>
      </c>
      <c r="D1135" s="4" t="s">
        <v>77</v>
      </c>
      <c r="E1135" s="5" t="s">
        <v>23</v>
      </c>
      <c r="F1135" s="4" t="s">
        <v>1833</v>
      </c>
      <c r="G1135" s="19" t="s">
        <v>3</v>
      </c>
      <c r="H1135" s="6" t="s">
        <v>3</v>
      </c>
      <c r="I1135" s="5" t="s">
        <v>305</v>
      </c>
      <c r="J1135" s="5" t="s">
        <v>1700</v>
      </c>
      <c r="K1135" s="5" t="s">
        <v>57</v>
      </c>
    </row>
    <row r="1136" spans="2:11" ht="15.75" hidden="1" customHeight="1" x14ac:dyDescent="0.2">
      <c r="B1136" s="4" t="s">
        <v>1435</v>
      </c>
      <c r="C1136" s="4" t="s">
        <v>1832</v>
      </c>
      <c r="D1136" s="4" t="s">
        <v>232</v>
      </c>
      <c r="E1136" s="5" t="s">
        <v>159</v>
      </c>
      <c r="F1136" s="4" t="s">
        <v>1831</v>
      </c>
      <c r="G1136" s="19" t="str">
        <f>HYPERLINK("https://www.outlookindia.com/outlooktraveller/explore/story/69367/among-the-tribals-of-chattisgarh","News")</f>
        <v>News</v>
      </c>
      <c r="H1136" s="6" t="s">
        <v>3</v>
      </c>
      <c r="I1136" s="5" t="s">
        <v>305</v>
      </c>
      <c r="J1136" s="5" t="s">
        <v>1700</v>
      </c>
      <c r="K1136" s="5" t="s">
        <v>1518</v>
      </c>
    </row>
    <row r="1137" spans="2:11" ht="15.75" hidden="1" customHeight="1" x14ac:dyDescent="0.2">
      <c r="B1137" s="4" t="s">
        <v>1435</v>
      </c>
      <c r="C1137" s="4" t="s">
        <v>1830</v>
      </c>
      <c r="D1137" s="4" t="s">
        <v>77</v>
      </c>
      <c r="E1137" s="5" t="s">
        <v>5</v>
      </c>
      <c r="F1137" s="4" t="s">
        <v>1829</v>
      </c>
      <c r="G1137" s="19" t="str">
        <f>HYPERLINK("https://www.petaindia.com/blog/victory-cruel-rekla-race-stopped-in-tiruppur/","PETA India")</f>
        <v>PETA India</v>
      </c>
      <c r="H1137" s="6" t="s">
        <v>272</v>
      </c>
      <c r="I1137" s="5" t="s">
        <v>305</v>
      </c>
      <c r="J1137" s="5" t="s">
        <v>1700</v>
      </c>
      <c r="K1137" s="5" t="s">
        <v>34</v>
      </c>
    </row>
    <row r="1138" spans="2:11" ht="15.75" hidden="1" customHeight="1" x14ac:dyDescent="0.2">
      <c r="B1138" s="4" t="s">
        <v>1435</v>
      </c>
      <c r="C1138" s="4" t="s">
        <v>1828</v>
      </c>
      <c r="D1138" s="6" t="s">
        <v>267</v>
      </c>
      <c r="E1138" s="5" t="s">
        <v>17</v>
      </c>
      <c r="F1138" s="4" t="s">
        <v>1827</v>
      </c>
      <c r="G1138" s="19" t="str">
        <f>HYPERLINK("https://www.youtube.com/watch?v=lfsFHELFC68","Youtube (News)")</f>
        <v>Youtube (News)</v>
      </c>
      <c r="H1138" s="6" t="s">
        <v>3</v>
      </c>
      <c r="I1138" s="5" t="s">
        <v>305</v>
      </c>
      <c r="J1138" s="5" t="s">
        <v>1700</v>
      </c>
      <c r="K1138" s="5" t="s">
        <v>639</v>
      </c>
    </row>
    <row r="1139" spans="2:11" ht="15.75" hidden="1" customHeight="1" x14ac:dyDescent="0.2">
      <c r="B1139" s="4" t="s">
        <v>1435</v>
      </c>
      <c r="C1139" s="4" t="s">
        <v>1826</v>
      </c>
      <c r="D1139" s="4" t="s">
        <v>236</v>
      </c>
      <c r="E1139" s="5" t="s">
        <v>159</v>
      </c>
      <c r="F1139" s="4" t="s">
        <v>1825</v>
      </c>
      <c r="G1139" s="19" t="str">
        <f>HYPERLINK("https://www.facebook.com/photo.php?fbid=2615618645131835&amp;set=gm.1697963813636907&amp;type=3&amp;theater&amp;ifg=1","Facebook")</f>
        <v>Facebook</v>
      </c>
      <c r="H1139" s="6" t="s">
        <v>11</v>
      </c>
      <c r="I1139" s="5" t="s">
        <v>305</v>
      </c>
      <c r="J1139" s="5" t="s">
        <v>1700</v>
      </c>
      <c r="K1139" s="5" t="s">
        <v>34</v>
      </c>
    </row>
    <row r="1140" spans="2:11" ht="15.75" hidden="1" customHeight="1" x14ac:dyDescent="0.2">
      <c r="B1140" s="4" t="s">
        <v>1435</v>
      </c>
      <c r="C1140" s="4" t="s">
        <v>1824</v>
      </c>
      <c r="D1140" s="4" t="s">
        <v>154</v>
      </c>
      <c r="E1140" s="5" t="s">
        <v>159</v>
      </c>
      <c r="F1140" s="4" t="s">
        <v>1823</v>
      </c>
      <c r="G1140" s="19" t="str">
        <f>HYPERLINK("https://www.petaindia.com/blog/victory-following-peta-india-pressure-two-illegal-bull-races-stopped-in-punjab/","Peta India")</f>
        <v>Peta India</v>
      </c>
      <c r="H1140" s="6" t="s">
        <v>272</v>
      </c>
      <c r="I1140" s="5" t="s">
        <v>305</v>
      </c>
      <c r="J1140" s="5" t="s">
        <v>1700</v>
      </c>
      <c r="K1140" s="5" t="s">
        <v>34</v>
      </c>
    </row>
    <row r="1141" spans="2:11" ht="15.75" hidden="1" customHeight="1" x14ac:dyDescent="0.2">
      <c r="B1141" s="4" t="s">
        <v>1435</v>
      </c>
      <c r="C1141" s="4" t="s">
        <v>139</v>
      </c>
      <c r="D1141" s="4" t="s">
        <v>18</v>
      </c>
      <c r="E1141" s="5" t="s">
        <v>159</v>
      </c>
      <c r="F1141" s="4" t="s">
        <v>1822</v>
      </c>
      <c r="G1141" s="19" t="str">
        <f>HYPERLINK("https://timesofindia.indiatimes.com/city/pune/marwari-horses-race-again/articleshow/68689031.cms","News")</f>
        <v>News</v>
      </c>
      <c r="H1141" s="6" t="s">
        <v>3</v>
      </c>
      <c r="I1141" s="5" t="s">
        <v>305</v>
      </c>
      <c r="J1141" s="5" t="s">
        <v>1700</v>
      </c>
      <c r="K1141" s="5" t="s">
        <v>1430</v>
      </c>
    </row>
    <row r="1142" spans="2:11" ht="15.75" hidden="1" customHeight="1" x14ac:dyDescent="0.2">
      <c r="B1142" s="4" t="s">
        <v>1435</v>
      </c>
      <c r="C1142" s="4" t="s">
        <v>1821</v>
      </c>
      <c r="D1142" s="4" t="s">
        <v>77</v>
      </c>
      <c r="E1142" s="5" t="s">
        <v>159</v>
      </c>
      <c r="F1142" s="4" t="s">
        <v>1820</v>
      </c>
      <c r="G1142" s="19" t="str">
        <f>HYPERLINK("https://www.thehindu.com/news/cities/Coimbatore/abandoned-horses-roam-roads-of-udhagamandalam/article27410504.ece","News")</f>
        <v>News</v>
      </c>
      <c r="H1142" s="6" t="s">
        <v>3</v>
      </c>
      <c r="I1142" s="5" t="s">
        <v>305</v>
      </c>
      <c r="J1142" s="5" t="s">
        <v>1485</v>
      </c>
      <c r="K1142" s="5" t="s">
        <v>1430</v>
      </c>
    </row>
    <row r="1143" spans="2:11" ht="15.75" hidden="1" customHeight="1" x14ac:dyDescent="0.2">
      <c r="B1143" s="4" t="s">
        <v>1435</v>
      </c>
      <c r="C1143" s="6"/>
      <c r="D1143" s="6"/>
      <c r="E1143" s="5" t="s">
        <v>5</v>
      </c>
      <c r="F1143" s="4" t="s">
        <v>1819</v>
      </c>
      <c r="G1143" s="19" t="str">
        <f>HYPERLINK("https://www.facebook.com/permalink.php?story_fbid=630860457397811&amp;id=100014215879455","Facebook")</f>
        <v>Facebook</v>
      </c>
      <c r="H1143" s="6" t="s">
        <v>11</v>
      </c>
      <c r="I1143" s="5" t="s">
        <v>305</v>
      </c>
      <c r="J1143" s="5" t="s">
        <v>1788</v>
      </c>
      <c r="K1143" s="5" t="s">
        <v>1452</v>
      </c>
    </row>
    <row r="1144" spans="2:11" ht="15.75" hidden="1" customHeight="1" x14ac:dyDescent="0.2">
      <c r="B1144" s="4" t="s">
        <v>1435</v>
      </c>
      <c r="C1144" s="6" t="s">
        <v>95</v>
      </c>
      <c r="D1144" s="6" t="s">
        <v>94</v>
      </c>
      <c r="E1144" s="5" t="s">
        <v>159</v>
      </c>
      <c r="F1144" s="4" t="s">
        <v>1818</v>
      </c>
      <c r="G1144" s="19" t="s">
        <v>1467</v>
      </c>
      <c r="H1144" s="6" t="s">
        <v>11</v>
      </c>
      <c r="I1144" s="5" t="s">
        <v>305</v>
      </c>
      <c r="J1144" s="5" t="s">
        <v>1485</v>
      </c>
      <c r="K1144" s="5" t="s">
        <v>639</v>
      </c>
    </row>
    <row r="1145" spans="2:11" ht="15.75" hidden="1" customHeight="1" x14ac:dyDescent="0.2">
      <c r="B1145" s="4" t="s">
        <v>1435</v>
      </c>
      <c r="C1145" s="6" t="s">
        <v>271</v>
      </c>
      <c r="D1145" s="6" t="s">
        <v>94</v>
      </c>
      <c r="E1145" s="5" t="s">
        <v>159</v>
      </c>
      <c r="F1145" s="4" t="s">
        <v>1817</v>
      </c>
      <c r="G1145" s="19" t="s">
        <v>11</v>
      </c>
      <c r="H1145" s="6" t="s">
        <v>11</v>
      </c>
      <c r="I1145" s="5" t="s">
        <v>305</v>
      </c>
      <c r="J1145" s="5" t="s">
        <v>1485</v>
      </c>
      <c r="K1145" s="5" t="s">
        <v>639</v>
      </c>
    </row>
    <row r="1146" spans="2:11" ht="15.75" hidden="1" customHeight="1" x14ac:dyDescent="0.2">
      <c r="B1146" s="4" t="s">
        <v>1435</v>
      </c>
      <c r="C1146" s="18" t="s">
        <v>1816</v>
      </c>
      <c r="D1146" s="18" t="s">
        <v>71</v>
      </c>
      <c r="E1146" s="5" t="s">
        <v>159</v>
      </c>
      <c r="F1146" s="4" t="s">
        <v>1815</v>
      </c>
      <c r="G1146" s="19" t="str">
        <f>HYPERLINK("https://www.facebook.com/pulkit.gautam.161/videos/2538447539812371/?query=monkey&amp;epa=SEARCH_BOX","Facebook")</f>
        <v>Facebook</v>
      </c>
      <c r="H1146" s="6" t="s">
        <v>11</v>
      </c>
      <c r="I1146" s="5" t="s">
        <v>305</v>
      </c>
      <c r="J1146" s="5" t="s">
        <v>1700</v>
      </c>
      <c r="K1146" s="5" t="s">
        <v>19</v>
      </c>
    </row>
    <row r="1147" spans="2:11" ht="15.75" hidden="1" customHeight="1" x14ac:dyDescent="0.2">
      <c r="B1147" s="4" t="s">
        <v>1435</v>
      </c>
      <c r="C1147" s="4" t="s">
        <v>95</v>
      </c>
      <c r="D1147" s="4" t="s">
        <v>94</v>
      </c>
      <c r="E1147" s="5" t="s">
        <v>5</v>
      </c>
      <c r="F1147" s="4" t="s">
        <v>1814</v>
      </c>
      <c r="G1147" s="19" t="str">
        <f>HYPERLINK("https://www.youtube.com/watch?v=M1G9BQqxXN4","Youtube")</f>
        <v>Youtube</v>
      </c>
      <c r="H1147" s="6" t="s">
        <v>3</v>
      </c>
      <c r="I1147" s="5" t="s">
        <v>305</v>
      </c>
      <c r="J1147" s="5" t="s">
        <v>1788</v>
      </c>
      <c r="K1147" s="5" t="s">
        <v>639</v>
      </c>
    </row>
    <row r="1148" spans="2:11" ht="15.75" hidden="1" customHeight="1" x14ac:dyDescent="0.2">
      <c r="B1148" s="4" t="s">
        <v>1435</v>
      </c>
      <c r="C1148" s="6"/>
      <c r="D1148" s="6"/>
      <c r="E1148" s="18" t="s">
        <v>5</v>
      </c>
      <c r="F1148" s="4" t="s">
        <v>1813</v>
      </c>
      <c r="G1148" s="19" t="str">
        <f>HYPERLINK("https://www.youtube.com/watch?v=ZisyezxQjGk","Youtube")</f>
        <v>Youtube</v>
      </c>
      <c r="H1148" s="6" t="s">
        <v>3</v>
      </c>
      <c r="I1148" s="5" t="s">
        <v>305</v>
      </c>
      <c r="J1148" s="5" t="s">
        <v>1700</v>
      </c>
      <c r="K1148" s="5" t="s">
        <v>0</v>
      </c>
    </row>
    <row r="1149" spans="2:11" ht="15.75" hidden="1" customHeight="1" x14ac:dyDescent="0.2">
      <c r="B1149" s="4" t="s">
        <v>1435</v>
      </c>
      <c r="C1149" s="4" t="s">
        <v>1812</v>
      </c>
      <c r="D1149" s="4" t="s">
        <v>18</v>
      </c>
      <c r="E1149" s="5" t="s">
        <v>23</v>
      </c>
      <c r="F1149" s="4" t="s">
        <v>1811</v>
      </c>
      <c r="G1149" s="19" t="str">
        <f>HYPERLINK("https://timesofindia.indiatimes.com/city/thane/peta-police-stop-bullock-cart-race-in-shahapur-village/articleshow/68381921.cms","News")</f>
        <v>News</v>
      </c>
      <c r="H1149" s="6" t="s">
        <v>3</v>
      </c>
      <c r="I1149" s="5" t="s">
        <v>305</v>
      </c>
      <c r="J1149" s="5" t="s">
        <v>1700</v>
      </c>
      <c r="K1149" s="5" t="s">
        <v>34</v>
      </c>
    </row>
    <row r="1150" spans="2:11" ht="15.75" hidden="1" customHeight="1" x14ac:dyDescent="0.2">
      <c r="B1150" s="4" t="s">
        <v>1435</v>
      </c>
      <c r="C1150" s="4" t="s">
        <v>1810</v>
      </c>
      <c r="D1150" s="6" t="s">
        <v>267</v>
      </c>
      <c r="E1150" s="5" t="s">
        <v>159</v>
      </c>
      <c r="F1150" s="4" t="s">
        <v>1809</v>
      </c>
      <c r="G1150" s="19" t="str">
        <f>HYPERLINK("https://www.youtube.com/watch?v=4awudSS28Ow","Youtube")</f>
        <v>Youtube</v>
      </c>
      <c r="H1150" s="6" t="s">
        <v>3</v>
      </c>
      <c r="I1150" s="5" t="s">
        <v>305</v>
      </c>
      <c r="J1150" s="5" t="s">
        <v>1700</v>
      </c>
      <c r="K1150" s="5" t="s">
        <v>639</v>
      </c>
    </row>
    <row r="1151" spans="2:11" ht="15.75" hidden="1" customHeight="1" x14ac:dyDescent="0.2">
      <c r="B1151" s="4" t="s">
        <v>1435</v>
      </c>
      <c r="C1151" s="4" t="s">
        <v>1808</v>
      </c>
      <c r="D1151" s="4" t="s">
        <v>36</v>
      </c>
      <c r="E1151" s="5" t="s">
        <v>159</v>
      </c>
      <c r="F1151" s="4" t="s">
        <v>1807</v>
      </c>
      <c r="G1151" s="19" t="str">
        <f>HYPERLINK("https://timesofindia.indiatimes.com/city/bengaluru/9-yr-old-performs-daredevil-horse-stunt-to-feed-family/articleshow/68504711.cms","News")</f>
        <v>News</v>
      </c>
      <c r="H1151" s="6" t="s">
        <v>3</v>
      </c>
      <c r="I1151" s="5" t="s">
        <v>305</v>
      </c>
      <c r="J1151" s="5" t="s">
        <v>1700</v>
      </c>
      <c r="K1151" s="5" t="s">
        <v>1430</v>
      </c>
    </row>
    <row r="1152" spans="2:11" ht="15.75" hidden="1" customHeight="1" x14ac:dyDescent="0.2">
      <c r="B1152" s="4" t="s">
        <v>1435</v>
      </c>
      <c r="C1152" s="6" t="s">
        <v>95</v>
      </c>
      <c r="D1152" s="6" t="s">
        <v>94</v>
      </c>
      <c r="E1152" s="5" t="s">
        <v>159</v>
      </c>
      <c r="F1152" s="4" t="s">
        <v>1806</v>
      </c>
      <c r="G1152" s="19" t="s">
        <v>11</v>
      </c>
      <c r="H1152" s="6" t="s">
        <v>11</v>
      </c>
      <c r="I1152" s="5" t="s">
        <v>305</v>
      </c>
      <c r="J1152" s="5" t="s">
        <v>1788</v>
      </c>
      <c r="K1152" s="5" t="s">
        <v>639</v>
      </c>
    </row>
    <row r="1153" spans="2:11" ht="15.75" hidden="1" customHeight="1" x14ac:dyDescent="0.2">
      <c r="B1153" s="4" t="s">
        <v>1435</v>
      </c>
      <c r="C1153" s="4" t="s">
        <v>1642</v>
      </c>
      <c r="D1153" s="4" t="s">
        <v>66</v>
      </c>
      <c r="E1153" s="5" t="s">
        <v>23</v>
      </c>
      <c r="F1153" s="4" t="s">
        <v>1805</v>
      </c>
      <c r="G1153" s="19" t="str">
        <f>HYPERLINK("https://indianexpress.com/article/trending/viral-videos-trending/video-of-trainers-thrashing-elephant-in-kerala-causes-outrage-online-5645764/","News")</f>
        <v>News</v>
      </c>
      <c r="H1153" s="6" t="s">
        <v>3</v>
      </c>
      <c r="I1153" s="5" t="s">
        <v>305</v>
      </c>
      <c r="J1153" s="5" t="s">
        <v>1439</v>
      </c>
      <c r="K1153" s="5" t="s">
        <v>64</v>
      </c>
    </row>
    <row r="1154" spans="2:11" ht="15.75" hidden="1" customHeight="1" x14ac:dyDescent="0.2">
      <c r="B1154" s="4" t="s">
        <v>1435</v>
      </c>
      <c r="C1154" s="4" t="s">
        <v>228</v>
      </c>
      <c r="D1154" s="4" t="s">
        <v>36</v>
      </c>
      <c r="E1154" s="5" t="s">
        <v>159</v>
      </c>
      <c r="F1154" s="4" t="s">
        <v>1804</v>
      </c>
      <c r="G1154" s="19" t="s">
        <v>273</v>
      </c>
      <c r="H1154" s="6" t="s">
        <v>272</v>
      </c>
      <c r="I1154" s="5" t="s">
        <v>305</v>
      </c>
      <c r="J1154" s="5" t="s">
        <v>92</v>
      </c>
      <c r="K1154" s="5" t="s">
        <v>33</v>
      </c>
    </row>
    <row r="1155" spans="2:11" ht="15.75" hidden="1" customHeight="1" x14ac:dyDescent="0.2">
      <c r="B1155" s="4" t="s">
        <v>1435</v>
      </c>
      <c r="C1155" s="6"/>
      <c r="D1155" s="4" t="s">
        <v>236</v>
      </c>
      <c r="E1155" s="5" t="s">
        <v>159</v>
      </c>
      <c r="F1155" s="4" t="s">
        <v>1803</v>
      </c>
      <c r="G1155" s="19" t="str">
        <f>HYPERLINK("https://www.facebook.com/wag.india/posts/1080089215507466","Facebook")</f>
        <v>Facebook</v>
      </c>
      <c r="H1155" s="6" t="s">
        <v>11</v>
      </c>
      <c r="I1155" s="5" t="s">
        <v>305</v>
      </c>
      <c r="J1155" s="5" t="s">
        <v>1485</v>
      </c>
      <c r="K1155" s="5" t="s">
        <v>57</v>
      </c>
    </row>
    <row r="1156" spans="2:11" ht="15.75" hidden="1" customHeight="1" x14ac:dyDescent="0.2">
      <c r="B1156" s="4" t="s">
        <v>1435</v>
      </c>
      <c r="C1156" s="4" t="s">
        <v>195</v>
      </c>
      <c r="D1156" s="4" t="s">
        <v>42</v>
      </c>
      <c r="E1156" s="5" t="s">
        <v>5</v>
      </c>
      <c r="F1156" s="4" t="s">
        <v>1802</v>
      </c>
      <c r="G1156" s="19" t="str">
        <f>HYPERLINK("https://www.facebook.com/photo.php?fbid=1820933864677102&amp;set=gm.2113575018708384&amp;type=3&amp;theater&amp;ifg=1","Facebook")</f>
        <v>Facebook</v>
      </c>
      <c r="H1156" s="6" t="s">
        <v>11</v>
      </c>
      <c r="I1156" s="5" t="s">
        <v>305</v>
      </c>
      <c r="J1156" s="5" t="s">
        <v>1788</v>
      </c>
      <c r="K1156" s="5" t="s">
        <v>1430</v>
      </c>
    </row>
    <row r="1157" spans="2:11" ht="15.75" hidden="1" customHeight="1" x14ac:dyDescent="0.2">
      <c r="B1157" s="4" t="s">
        <v>1435</v>
      </c>
      <c r="C1157" s="4" t="s">
        <v>1801</v>
      </c>
      <c r="D1157" s="4" t="s">
        <v>18</v>
      </c>
      <c r="E1157" s="5" t="s">
        <v>23</v>
      </c>
      <c r="F1157" s="4" t="s">
        <v>1800</v>
      </c>
      <c r="G1157" s="19" t="str">
        <f>HYPERLINK("https://timesofindia.indiatimes.com/city/navi-mumbai/illegal-bullock-cart-race-stopped-at-alibag-after-activists-complain-to-cops/articleshow/67836459.cms","News")</f>
        <v>News</v>
      </c>
      <c r="H1157" s="6" t="s">
        <v>3</v>
      </c>
      <c r="I1157" s="5" t="s">
        <v>305</v>
      </c>
      <c r="J1157" s="5" t="s">
        <v>1700</v>
      </c>
      <c r="K1157" s="5" t="s">
        <v>34</v>
      </c>
    </row>
    <row r="1158" spans="2:11" ht="15.75" hidden="1" customHeight="1" x14ac:dyDescent="0.2">
      <c r="B1158" s="4" t="s">
        <v>1435</v>
      </c>
      <c r="C1158" s="6" t="s">
        <v>1799</v>
      </c>
      <c r="D1158" s="4" t="s">
        <v>18</v>
      </c>
      <c r="E1158" s="5" t="s">
        <v>23</v>
      </c>
      <c r="F1158" s="4" t="s">
        <v>1798</v>
      </c>
      <c r="G1158" s="19" t="str">
        <f>HYPERLINK("https://www.thehindu.com/news/cities/mumbai/duo-with-two-red-sand-boas-arrested-in-palghar/article26727528.ece","News")</f>
        <v>News</v>
      </c>
      <c r="H1158" s="6" t="s">
        <v>3</v>
      </c>
      <c r="I1158" s="5" t="s">
        <v>305</v>
      </c>
      <c r="J1158" s="5" t="s">
        <v>1522</v>
      </c>
      <c r="K1158" s="5" t="s">
        <v>1469</v>
      </c>
    </row>
    <row r="1159" spans="2:11" ht="15.75" hidden="1" customHeight="1" x14ac:dyDescent="0.2">
      <c r="B1159" s="4" t="s">
        <v>1435</v>
      </c>
      <c r="C1159" s="4" t="s">
        <v>574</v>
      </c>
      <c r="D1159" s="4" t="s">
        <v>236</v>
      </c>
      <c r="E1159" s="5" t="s">
        <v>159</v>
      </c>
      <c r="F1159" s="4" t="s">
        <v>1797</v>
      </c>
      <c r="G1159" s="19" t="str">
        <f>HYPERLINK("https://www.facebook.com/photo.php?fbid=10156806745016523&amp;set=pcb.1876195939147026&amp;type=3&amp;theater&amp;ifg=1","Facebook")</f>
        <v>Facebook</v>
      </c>
      <c r="H1159" s="6" t="s">
        <v>11</v>
      </c>
      <c r="I1159" s="5" t="s">
        <v>305</v>
      </c>
      <c r="J1159" s="5" t="s">
        <v>1485</v>
      </c>
      <c r="K1159" s="5" t="s">
        <v>34</v>
      </c>
    </row>
    <row r="1160" spans="2:11" ht="15.75" hidden="1" customHeight="1" x14ac:dyDescent="0.2">
      <c r="B1160" s="4" t="s">
        <v>1435</v>
      </c>
      <c r="C1160" s="4" t="s">
        <v>1796</v>
      </c>
      <c r="D1160" s="4" t="s">
        <v>18</v>
      </c>
      <c r="E1160" s="5" t="s">
        <v>27</v>
      </c>
      <c r="F1160" s="4" t="s">
        <v>1795</v>
      </c>
      <c r="G1160" s="19" t="str">
        <f>HYPERLINK("https://timesofindia.indiatimes.com/city/navi-mumbai/navi-mumbai-fir-against-circus-for-using-animals/articleshow/72357688.cms","News")</f>
        <v>News</v>
      </c>
      <c r="H1160" s="6" t="s">
        <v>3</v>
      </c>
      <c r="I1160" s="5" t="s">
        <v>305</v>
      </c>
      <c r="J1160" s="5" t="s">
        <v>1436</v>
      </c>
      <c r="K1160" s="5" t="s">
        <v>204</v>
      </c>
    </row>
    <row r="1161" spans="2:11" ht="15.75" hidden="1" customHeight="1" x14ac:dyDescent="0.2">
      <c r="B1161" s="4" t="s">
        <v>1435</v>
      </c>
      <c r="C1161" s="4" t="s">
        <v>1794</v>
      </c>
      <c r="D1161" s="4" t="s">
        <v>77</v>
      </c>
      <c r="E1161" s="5" t="s">
        <v>159</v>
      </c>
      <c r="F1161" s="4" t="s">
        <v>1793</v>
      </c>
      <c r="G1161" s="19" t="str">
        <f>HYPERLINK("https://timesofindia.indiatimes.com/city/coimbatore/horse-racing-to-begin-in-ooty-tomorrow/articleshow/68857814.cms","News")</f>
        <v>News</v>
      </c>
      <c r="H1161" s="6" t="s">
        <v>3</v>
      </c>
      <c r="I1161" s="5" t="s">
        <v>305</v>
      </c>
      <c r="J1161" s="5" t="s">
        <v>1700</v>
      </c>
      <c r="K1161" s="5" t="s">
        <v>1430</v>
      </c>
    </row>
    <row r="1162" spans="2:11" ht="15.75" hidden="1" customHeight="1" x14ac:dyDescent="0.2">
      <c r="B1162" s="4" t="s">
        <v>1435</v>
      </c>
      <c r="C1162" s="4" t="s">
        <v>886</v>
      </c>
      <c r="D1162" s="4" t="s">
        <v>232</v>
      </c>
      <c r="E1162" s="5" t="s">
        <v>5</v>
      </c>
      <c r="F1162" s="4" t="s">
        <v>1792</v>
      </c>
      <c r="G1162" s="19" t="str">
        <f>HYPERLINK("https://timesofindia.indiatimes.com/elections/lok-sabha-elections-2019/chhattisgarh/news/putting-the-moo-in-election-mood-in-chhattisgarh/articleshow/68904514.cms","News")</f>
        <v>News</v>
      </c>
      <c r="H1162" s="6" t="s">
        <v>3</v>
      </c>
      <c r="I1162" s="5" t="s">
        <v>305</v>
      </c>
      <c r="J1162" s="5" t="s">
        <v>1480</v>
      </c>
      <c r="K1162" s="5" t="s">
        <v>367</v>
      </c>
    </row>
    <row r="1163" spans="2:11" ht="15.75" hidden="1" customHeight="1" x14ac:dyDescent="0.2">
      <c r="B1163" s="4" t="s">
        <v>1435</v>
      </c>
      <c r="C1163" s="4" t="s">
        <v>181</v>
      </c>
      <c r="D1163" s="4" t="s">
        <v>42</v>
      </c>
      <c r="E1163" s="5" t="s">
        <v>23</v>
      </c>
      <c r="F1163" s="4" t="s">
        <v>1791</v>
      </c>
      <c r="G1163" s="19" t="s">
        <v>3</v>
      </c>
      <c r="H1163" s="6" t="s">
        <v>3</v>
      </c>
      <c r="I1163" s="5" t="s">
        <v>305</v>
      </c>
      <c r="J1163" s="5" t="s">
        <v>1439</v>
      </c>
      <c r="K1163" s="5" t="s">
        <v>955</v>
      </c>
    </row>
    <row r="1164" spans="2:11" ht="15.75" hidden="1" customHeight="1" x14ac:dyDescent="0.2">
      <c r="B1164" s="4" t="s">
        <v>1435</v>
      </c>
      <c r="C1164" s="4" t="s">
        <v>150</v>
      </c>
      <c r="D1164" s="4" t="s">
        <v>150</v>
      </c>
      <c r="E1164" s="5" t="s">
        <v>159</v>
      </c>
      <c r="F1164" s="4" t="s">
        <v>1790</v>
      </c>
      <c r="G1164" s="19" t="s">
        <v>11</v>
      </c>
      <c r="H1164" s="6" t="s">
        <v>11</v>
      </c>
      <c r="I1164" s="5" t="s">
        <v>305</v>
      </c>
      <c r="J1164" s="5" t="s">
        <v>1788</v>
      </c>
      <c r="K1164" s="5" t="s">
        <v>1430</v>
      </c>
    </row>
    <row r="1165" spans="2:11" ht="15.75" hidden="1" customHeight="1" x14ac:dyDescent="0.2">
      <c r="B1165" s="4" t="s">
        <v>1435</v>
      </c>
      <c r="C1165" s="6" t="s">
        <v>150</v>
      </c>
      <c r="D1165" s="6" t="s">
        <v>150</v>
      </c>
      <c r="E1165" s="5" t="s">
        <v>159</v>
      </c>
      <c r="F1165" s="4" t="s">
        <v>1789</v>
      </c>
      <c r="G1165" s="19" t="str">
        <f>HYPERLINK("https://www.facebook.com/kochharvikram/posts/352287682066400","Facebook")</f>
        <v>Facebook</v>
      </c>
      <c r="H1165" s="6" t="s">
        <v>11</v>
      </c>
      <c r="I1165" s="5" t="s">
        <v>305</v>
      </c>
      <c r="J1165" s="5" t="s">
        <v>1788</v>
      </c>
      <c r="K1165" s="5" t="s">
        <v>1430</v>
      </c>
    </row>
    <row r="1166" spans="2:11" ht="15.75" hidden="1" customHeight="1" x14ac:dyDescent="0.2">
      <c r="B1166" s="4" t="s">
        <v>1435</v>
      </c>
      <c r="C1166" s="4" t="s">
        <v>1787</v>
      </c>
      <c r="D1166" s="4" t="s">
        <v>77</v>
      </c>
      <c r="E1166" s="5" t="s">
        <v>159</v>
      </c>
      <c r="F1166" s="4" t="s">
        <v>1786</v>
      </c>
      <c r="G1166" s="19" t="str">
        <f>HYPERLINK("https://www.newsflare.com/video/290597/animals/twin-bullock-cart-race-held-in-southern-india","News")</f>
        <v>News</v>
      </c>
      <c r="H1166" s="6" t="s">
        <v>3</v>
      </c>
      <c r="I1166" s="5" t="s">
        <v>305</v>
      </c>
      <c r="J1166" s="5" t="s">
        <v>1700</v>
      </c>
      <c r="K1166" s="5" t="s">
        <v>34</v>
      </c>
    </row>
    <row r="1167" spans="2:11" ht="15.75" hidden="1" customHeight="1" x14ac:dyDescent="0.2">
      <c r="B1167" s="4" t="s">
        <v>1435</v>
      </c>
      <c r="C1167" s="6"/>
      <c r="D1167" s="4" t="s">
        <v>77</v>
      </c>
      <c r="E1167" s="5" t="s">
        <v>17</v>
      </c>
      <c r="F1167" s="4" t="s">
        <v>1785</v>
      </c>
      <c r="G1167" s="19" t="str">
        <f>HYPERLINK("https://www.deccanchronicle.com/entertainment/kollywood/300419/byri-explores-pigeon-racing-theme.html","News")</f>
        <v>News</v>
      </c>
      <c r="H1167" s="6" t="s">
        <v>3</v>
      </c>
      <c r="I1167" s="5" t="s">
        <v>305</v>
      </c>
      <c r="J1167" s="5" t="s">
        <v>1700</v>
      </c>
      <c r="K1167" s="5" t="s">
        <v>147</v>
      </c>
    </row>
    <row r="1168" spans="2:11" ht="15.75" hidden="1" customHeight="1" x14ac:dyDescent="0.2">
      <c r="B1168" s="4" t="s">
        <v>1435</v>
      </c>
      <c r="C1168" s="4" t="s">
        <v>1784</v>
      </c>
      <c r="D1168" s="4" t="s">
        <v>18</v>
      </c>
      <c r="E1168" s="5" t="s">
        <v>55</v>
      </c>
      <c r="F1168" s="4" t="s">
        <v>1783</v>
      </c>
      <c r="G1168" s="19" t="str">
        <f>HYPERLINK("https://timesofindia.indiatimes.com/city/navi-mumbai/7-held-for-taking-part-in-illegal-bullock-cart-race-in-panvel/articleshow/69168358.cms","News")</f>
        <v>News</v>
      </c>
      <c r="H1168" s="6" t="s">
        <v>3</v>
      </c>
      <c r="I1168" s="5" t="s">
        <v>305</v>
      </c>
      <c r="J1168" s="5" t="s">
        <v>1700</v>
      </c>
      <c r="K1168" s="5" t="s">
        <v>34</v>
      </c>
    </row>
    <row r="1169" spans="2:11" ht="15.75" hidden="1" customHeight="1" x14ac:dyDescent="0.2">
      <c r="B1169" s="4" t="s">
        <v>1435</v>
      </c>
      <c r="C1169" s="4" t="s">
        <v>1782</v>
      </c>
      <c r="D1169" s="4" t="s">
        <v>47</v>
      </c>
      <c r="E1169" s="5" t="s">
        <v>159</v>
      </c>
      <c r="F1169" s="4" t="s">
        <v>1781</v>
      </c>
      <c r="G1169" s="19" t="str">
        <f>HYPERLINK("https://indianexpress.com/article/north-east-india/assam/outrage-over-300-birds-at-durga-puja-pandal-but-bjp-mla-has-a-bizarre-counter-6054919/","News")</f>
        <v>News</v>
      </c>
      <c r="H1169" s="6" t="s">
        <v>3</v>
      </c>
      <c r="I1169" s="5" t="s">
        <v>305</v>
      </c>
      <c r="J1169" s="5" t="s">
        <v>1686</v>
      </c>
      <c r="K1169" s="5" t="s">
        <v>1157</v>
      </c>
    </row>
    <row r="1170" spans="2:11" ht="15.75" hidden="1" customHeight="1" x14ac:dyDescent="0.2">
      <c r="B1170" s="4" t="s">
        <v>1435</v>
      </c>
      <c r="C1170" s="4" t="s">
        <v>1780</v>
      </c>
      <c r="D1170" s="4" t="s">
        <v>13</v>
      </c>
      <c r="E1170" s="5" t="s">
        <v>159</v>
      </c>
      <c r="F1170" s="4" t="s">
        <v>1779</v>
      </c>
      <c r="G1170" s="19" t="s">
        <v>1778</v>
      </c>
      <c r="H1170" s="6" t="s">
        <v>272</v>
      </c>
      <c r="I1170" s="5" t="s">
        <v>305</v>
      </c>
      <c r="J1170" s="5" t="s">
        <v>1431</v>
      </c>
      <c r="K1170" s="5" t="s">
        <v>1430</v>
      </c>
    </row>
    <row r="1171" spans="2:11" ht="15.75" hidden="1" customHeight="1" x14ac:dyDescent="0.2">
      <c r="B1171" s="4" t="s">
        <v>1435</v>
      </c>
      <c r="C1171" s="6"/>
      <c r="D1171" s="4" t="s">
        <v>236</v>
      </c>
      <c r="E1171" s="5" t="s">
        <v>159</v>
      </c>
      <c r="F1171" s="4" t="s">
        <v>1777</v>
      </c>
      <c r="G1171" s="19" t="str">
        <f>HYPERLINK("https://www.facebook.com/wvshicksitc/posts/670237663399417","Facebook")</f>
        <v>Facebook</v>
      </c>
      <c r="H1171" s="6" t="s">
        <v>11</v>
      </c>
      <c r="I1171" s="5" t="s">
        <v>305</v>
      </c>
      <c r="J1171" s="5" t="s">
        <v>1492</v>
      </c>
      <c r="K1171" s="5" t="s">
        <v>840</v>
      </c>
    </row>
    <row r="1172" spans="2:11" ht="15.75" hidden="1" customHeight="1" x14ac:dyDescent="0.2">
      <c r="B1172" s="4" t="s">
        <v>1435</v>
      </c>
      <c r="C1172" s="4" t="s">
        <v>1776</v>
      </c>
      <c r="D1172" s="4" t="s">
        <v>18</v>
      </c>
      <c r="E1172" s="5" t="s">
        <v>23</v>
      </c>
      <c r="F1172" s="4" t="s">
        <v>1775</v>
      </c>
      <c r="G1172" s="19" t="str">
        <f>HYPERLINK("https://www.thehindu.com/news/cities/mumbai/cops-peta-stop-bullock-cart-race-in-its-tracks-in-shahapur/article27142442.ece","News")</f>
        <v>News</v>
      </c>
      <c r="H1172" s="6" t="s">
        <v>3</v>
      </c>
      <c r="I1172" s="5" t="s">
        <v>305</v>
      </c>
      <c r="J1172" s="5" t="s">
        <v>1700</v>
      </c>
      <c r="K1172" s="5" t="s">
        <v>34</v>
      </c>
    </row>
    <row r="1173" spans="2:11" ht="15.75" hidden="1" customHeight="1" x14ac:dyDescent="0.2">
      <c r="B1173" s="4" t="s">
        <v>1435</v>
      </c>
      <c r="C1173" s="4" t="s">
        <v>1774</v>
      </c>
      <c r="D1173" s="4" t="s">
        <v>154</v>
      </c>
      <c r="E1173" s="5" t="s">
        <v>23</v>
      </c>
      <c r="F1173" s="4" t="s">
        <v>1773</v>
      </c>
      <c r="G1173" s="19" t="str">
        <f>HYPERLINK("https://www.petaindia.com/blog/peta-india-strikes-again-bullock-cart-races-stopped-in-moga/","PETA India")</f>
        <v>PETA India</v>
      </c>
      <c r="H1173" s="6" t="s">
        <v>272</v>
      </c>
      <c r="I1173" s="5" t="s">
        <v>305</v>
      </c>
      <c r="J1173" s="5" t="s">
        <v>1700</v>
      </c>
      <c r="K1173" s="5" t="s">
        <v>34</v>
      </c>
    </row>
    <row r="1174" spans="2:11" ht="15.75" hidden="1" customHeight="1" x14ac:dyDescent="0.2">
      <c r="B1174" s="4" t="s">
        <v>1435</v>
      </c>
      <c r="C1174" s="4" t="s">
        <v>228</v>
      </c>
      <c r="D1174" s="4" t="s">
        <v>36</v>
      </c>
      <c r="E1174" s="4" t="s">
        <v>159</v>
      </c>
      <c r="F1174" s="4" t="s">
        <v>1772</v>
      </c>
      <c r="G1174" s="4" t="s">
        <v>289</v>
      </c>
      <c r="H1174" s="6" t="s">
        <v>272</v>
      </c>
      <c r="I1174" s="5" t="s">
        <v>305</v>
      </c>
      <c r="J1174" s="5" t="s">
        <v>852</v>
      </c>
      <c r="K1174" s="5" t="s">
        <v>288</v>
      </c>
    </row>
    <row r="1175" spans="2:11" ht="15.75" hidden="1" customHeight="1" x14ac:dyDescent="0.2">
      <c r="B1175" s="4" t="s">
        <v>1435</v>
      </c>
      <c r="C1175" s="4" t="s">
        <v>1771</v>
      </c>
      <c r="D1175" s="4" t="s">
        <v>18</v>
      </c>
      <c r="E1175" s="5" t="s">
        <v>159</v>
      </c>
      <c r="F1175" s="4" t="s">
        <v>1770</v>
      </c>
      <c r="G1175" s="19" t="str">
        <f>HYPERLINK("https://timesofindia.indiatimes.com/city/nashik/donkeys-help-remote-maharashtra-hamlet-tide-over-water-crisis/articleshow/69438528.cms","News")</f>
        <v>News</v>
      </c>
      <c r="H1175" s="6" t="s">
        <v>3</v>
      </c>
      <c r="I1175" s="5" t="s">
        <v>305</v>
      </c>
      <c r="J1175" s="5" t="s">
        <v>1431</v>
      </c>
      <c r="K1175" s="5" t="s">
        <v>639</v>
      </c>
    </row>
    <row r="1176" spans="2:11" ht="15.75" hidden="1" customHeight="1" x14ac:dyDescent="0.2">
      <c r="B1176" s="4" t="s">
        <v>1435</v>
      </c>
      <c r="C1176" s="4" t="s">
        <v>1769</v>
      </c>
      <c r="D1176" s="4" t="s">
        <v>28</v>
      </c>
      <c r="E1176" s="5" t="s">
        <v>81</v>
      </c>
      <c r="F1176" s="4" t="s">
        <v>1768</v>
      </c>
      <c r="G1176" s="19" t="str">
        <f>HYPERLINK("https://www.hindustantimes.com/india-news/horse-injured-in-attack-on-gujarat-dalit-groom-dies/story-NK9hlvciM65fR8JqHtaDqO.html","News")</f>
        <v>News</v>
      </c>
      <c r="H1176" s="6" t="s">
        <v>3</v>
      </c>
      <c r="I1176" s="5" t="s">
        <v>305</v>
      </c>
      <c r="J1176" s="5" t="s">
        <v>15</v>
      </c>
      <c r="K1176" s="5" t="s">
        <v>1430</v>
      </c>
    </row>
    <row r="1177" spans="2:11" ht="15.75" hidden="1" customHeight="1" x14ac:dyDescent="0.2">
      <c r="B1177" s="4" t="s">
        <v>1435</v>
      </c>
      <c r="C1177" s="4" t="s">
        <v>1767</v>
      </c>
      <c r="D1177" s="4" t="s">
        <v>150</v>
      </c>
      <c r="E1177" s="5" t="s">
        <v>159</v>
      </c>
      <c r="F1177" s="4" t="s">
        <v>1766</v>
      </c>
      <c r="G1177" s="19" t="str">
        <f>HYPERLINK("https://www.facebook.com/madhu.chanda.507/posts/3017148004978761","Facebook")</f>
        <v>Facebook</v>
      </c>
      <c r="H1177" s="6" t="s">
        <v>11</v>
      </c>
      <c r="I1177" s="5" t="s">
        <v>305</v>
      </c>
      <c r="J1177" s="5" t="s">
        <v>1431</v>
      </c>
      <c r="K1177" s="5" t="s">
        <v>840</v>
      </c>
    </row>
    <row r="1178" spans="2:11" ht="15.75" hidden="1" customHeight="1" x14ac:dyDescent="0.2">
      <c r="B1178" s="4" t="s">
        <v>1435</v>
      </c>
      <c r="C1178" s="6"/>
      <c r="D1178" s="4" t="s">
        <v>210</v>
      </c>
      <c r="E1178" s="18" t="s">
        <v>5</v>
      </c>
      <c r="F1178" s="4" t="s">
        <v>1765</v>
      </c>
      <c r="G1178" s="19" t="str">
        <f>HYPERLINK("https://m.facebook.com/story.php?story_fbid=10157793392331683&amp;id=74713936682","Facebook")</f>
        <v>Facebook</v>
      </c>
      <c r="H1178" s="6" t="s">
        <v>11</v>
      </c>
      <c r="I1178" s="5" t="s">
        <v>305</v>
      </c>
      <c r="J1178" s="5" t="s">
        <v>1431</v>
      </c>
      <c r="K1178" s="5" t="s">
        <v>57</v>
      </c>
    </row>
    <row r="1179" spans="2:11" ht="15.75" hidden="1" customHeight="1" x14ac:dyDescent="0.2">
      <c r="B1179" s="4" t="s">
        <v>1435</v>
      </c>
      <c r="C1179" s="6"/>
      <c r="D1179" s="4" t="s">
        <v>150</v>
      </c>
      <c r="E1179" s="5" t="s">
        <v>159</v>
      </c>
      <c r="F1179" s="4" t="s">
        <v>1764</v>
      </c>
      <c r="G1179" s="19" t="str">
        <f>HYPERLINK("https://www.petaindia.com/blog/peta-india-calls-for-ban-on-all-animal-drawn-carts-because-of-pollution-crisis/","PETA India")</f>
        <v>PETA India</v>
      </c>
      <c r="H1179" s="6" t="s">
        <v>272</v>
      </c>
      <c r="I1179" s="5" t="s">
        <v>305</v>
      </c>
      <c r="J1179" s="5" t="s">
        <v>1431</v>
      </c>
      <c r="K1179" s="5" t="s">
        <v>204</v>
      </c>
    </row>
    <row r="1180" spans="2:11" ht="15.75" hidden="1" customHeight="1" x14ac:dyDescent="0.2">
      <c r="B1180" s="4" t="s">
        <v>1435</v>
      </c>
      <c r="C1180" s="6" t="s">
        <v>250</v>
      </c>
      <c r="D1180" s="6" t="s">
        <v>94</v>
      </c>
      <c r="E1180" s="5" t="s">
        <v>23</v>
      </c>
      <c r="F1180" s="4" t="s">
        <v>1763</v>
      </c>
      <c r="G1180" s="19" t="s">
        <v>272</v>
      </c>
      <c r="H1180" s="6">
        <v>19</v>
      </c>
      <c r="I1180" s="5" t="s">
        <v>305</v>
      </c>
      <c r="J1180" s="5" t="s">
        <v>1436</v>
      </c>
      <c r="K1180" s="5" t="s">
        <v>75</v>
      </c>
    </row>
    <row r="1181" spans="2:11" ht="15.75" hidden="1" customHeight="1" x14ac:dyDescent="0.2">
      <c r="B1181" s="4" t="s">
        <v>1435</v>
      </c>
      <c r="C1181" s="6" t="s">
        <v>130</v>
      </c>
      <c r="D1181" s="4" t="s">
        <v>77</v>
      </c>
      <c r="E1181" s="5" t="s">
        <v>55</v>
      </c>
      <c r="F1181" s="4" t="s">
        <v>1762</v>
      </c>
      <c r="G1181" s="19" t="str">
        <f>HYPERLINK("https://www.indiatvnews.com/news/india-hc-comes-to-rescue-of-elephant-used-for-begging-527003","News")</f>
        <v>News</v>
      </c>
      <c r="H1181" s="6" t="s">
        <v>3</v>
      </c>
      <c r="I1181" s="5" t="s">
        <v>305</v>
      </c>
      <c r="J1181" s="5" t="s">
        <v>1709</v>
      </c>
      <c r="K1181" s="5" t="s">
        <v>64</v>
      </c>
    </row>
    <row r="1182" spans="2:11" ht="15.75" hidden="1" customHeight="1" x14ac:dyDescent="0.2">
      <c r="B1182" s="4" t="s">
        <v>1435</v>
      </c>
      <c r="C1182" s="4" t="s">
        <v>1761</v>
      </c>
      <c r="D1182" s="4" t="s">
        <v>97</v>
      </c>
      <c r="E1182" s="5" t="s">
        <v>23</v>
      </c>
      <c r="F1182" s="4" t="s">
        <v>1760</v>
      </c>
      <c r="G1182" s="19" t="str">
        <f>HYPERLINK("https://kalingatv.com/state/tension-erupts-in-kodinga-police-station-in-nabarangpur-for-custodial-death/","News")</f>
        <v>News</v>
      </c>
      <c r="H1182" s="6" t="s">
        <v>3</v>
      </c>
      <c r="I1182" s="5" t="s">
        <v>305</v>
      </c>
      <c r="J1182" s="5" t="s">
        <v>1700</v>
      </c>
      <c r="K1182" s="5" t="s">
        <v>1518</v>
      </c>
    </row>
    <row r="1183" spans="2:11" ht="15.75" hidden="1" customHeight="1" x14ac:dyDescent="0.2">
      <c r="B1183" s="4" t="s">
        <v>1435</v>
      </c>
      <c r="C1183" s="6" t="s">
        <v>1222</v>
      </c>
      <c r="D1183" s="4" t="s">
        <v>77</v>
      </c>
      <c r="E1183" s="5" t="s">
        <v>23</v>
      </c>
      <c r="F1183" s="4" t="s">
        <v>1759</v>
      </c>
      <c r="G1183" s="19" t="s">
        <v>3</v>
      </c>
      <c r="H1183" s="6" t="s">
        <v>3</v>
      </c>
      <c r="I1183" s="5" t="s">
        <v>305</v>
      </c>
      <c r="J1183" s="5" t="s">
        <v>1607</v>
      </c>
      <c r="K1183" s="5" t="s">
        <v>1758</v>
      </c>
    </row>
    <row r="1184" spans="2:11" ht="15.75" hidden="1" customHeight="1" x14ac:dyDescent="0.2">
      <c r="B1184" s="4" t="s">
        <v>1435</v>
      </c>
      <c r="C1184" s="6"/>
      <c r="D1184" s="4" t="s">
        <v>77</v>
      </c>
      <c r="E1184" s="5" t="s">
        <v>159</v>
      </c>
      <c r="F1184" s="4" t="s">
        <v>1757</v>
      </c>
      <c r="G1184" s="19" t="str">
        <f>HYPERLINK("https://www.petaindia.com/blog/5-reasons-to-steer-clear-of-upcoming-film-gorilla/","PETA India")</f>
        <v>PETA India</v>
      </c>
      <c r="H1184" s="6" t="s">
        <v>272</v>
      </c>
      <c r="I1184" s="5" t="s">
        <v>305</v>
      </c>
      <c r="J1184" s="5" t="s">
        <v>1436</v>
      </c>
      <c r="K1184" s="5" t="s">
        <v>1756</v>
      </c>
    </row>
    <row r="1185" spans="2:11" ht="15.75" hidden="1" customHeight="1" x14ac:dyDescent="0.2">
      <c r="B1185" s="4" t="s">
        <v>1435</v>
      </c>
      <c r="C1185" s="5" t="s">
        <v>408</v>
      </c>
      <c r="D1185" s="5" t="s">
        <v>28</v>
      </c>
      <c r="E1185" s="5" t="s">
        <v>55</v>
      </c>
      <c r="F1185" s="4" t="s">
        <v>1755</v>
      </c>
      <c r="G1185" s="14" t="s">
        <v>3</v>
      </c>
      <c r="H1185" s="6" t="s">
        <v>3</v>
      </c>
      <c r="I1185" s="5" t="s">
        <v>305</v>
      </c>
      <c r="J1185" s="5" t="s">
        <v>1753</v>
      </c>
      <c r="K1185" s="5" t="s">
        <v>840</v>
      </c>
    </row>
    <row r="1186" spans="2:11" ht="15.75" hidden="1" customHeight="1" x14ac:dyDescent="0.2">
      <c r="B1186" s="4" t="s">
        <v>1435</v>
      </c>
      <c r="C1186" s="5" t="s">
        <v>1752</v>
      </c>
      <c r="D1186" s="5" t="s">
        <v>232</v>
      </c>
      <c r="E1186" s="5" t="s">
        <v>23</v>
      </c>
      <c r="F1186" s="4" t="s">
        <v>1754</v>
      </c>
      <c r="G1186" s="14" t="s">
        <v>3</v>
      </c>
      <c r="H1186" s="6" t="s">
        <v>3</v>
      </c>
      <c r="I1186" s="5" t="s">
        <v>1647</v>
      </c>
      <c r="J1186" s="5" t="s">
        <v>1753</v>
      </c>
      <c r="K1186" s="5" t="s">
        <v>64</v>
      </c>
    </row>
    <row r="1187" spans="2:11" ht="15.75" hidden="1" customHeight="1" x14ac:dyDescent="0.2">
      <c r="B1187" s="4" t="s">
        <v>1435</v>
      </c>
      <c r="C1187" s="4" t="s">
        <v>1752</v>
      </c>
      <c r="D1187" s="4" t="s">
        <v>232</v>
      </c>
      <c r="E1187" s="5" t="s">
        <v>55</v>
      </c>
      <c r="F1187" s="4" t="s">
        <v>1751</v>
      </c>
      <c r="G1187" s="19" t="str">
        <f>HYPERLINK("https://www.newindianexpress.com/nation/2019/jun/19/owner-mahout-jailed-in-chhattisgarh-for-forcing-ailing-tusker-to-entertain-and-beg-1991995.html","News")</f>
        <v>News</v>
      </c>
      <c r="H1187" s="6" t="s">
        <v>3</v>
      </c>
      <c r="I1187" s="5" t="s">
        <v>305</v>
      </c>
      <c r="J1187" s="5" t="s">
        <v>1709</v>
      </c>
      <c r="K1187" s="5" t="s">
        <v>64</v>
      </c>
    </row>
    <row r="1188" spans="2:11" ht="15.75" hidden="1" customHeight="1" x14ac:dyDescent="0.2">
      <c r="B1188" s="4" t="s">
        <v>1435</v>
      </c>
      <c r="C1188" s="4" t="s">
        <v>228</v>
      </c>
      <c r="D1188" s="4" t="s">
        <v>36</v>
      </c>
      <c r="E1188" s="5" t="s">
        <v>159</v>
      </c>
      <c r="F1188" s="4" t="s">
        <v>1750</v>
      </c>
      <c r="G1188" s="19" t="s">
        <v>944</v>
      </c>
      <c r="H1188" s="6" t="s">
        <v>272</v>
      </c>
      <c r="I1188" s="5" t="s">
        <v>305</v>
      </c>
      <c r="J1188" s="5" t="s">
        <v>1485</v>
      </c>
      <c r="K1188" s="5" t="s">
        <v>108</v>
      </c>
    </row>
    <row r="1189" spans="2:11" ht="15.75" hidden="1" customHeight="1" x14ac:dyDescent="0.2">
      <c r="B1189" s="4" t="s">
        <v>1435</v>
      </c>
      <c r="C1189" s="4" t="s">
        <v>1749</v>
      </c>
      <c r="D1189" s="4" t="s">
        <v>150</v>
      </c>
      <c r="E1189" s="5" t="s">
        <v>23</v>
      </c>
      <c r="F1189" s="4" t="s">
        <v>1748</v>
      </c>
      <c r="G1189" s="19" t="str">
        <f>HYPERLINK("https://www.petaindia.com/blog/following-peta-india-complaint-delhi-police-seize-spiked-bits-used-to-control-horses-in-weddings/","Peta India")</f>
        <v>Peta India</v>
      </c>
      <c r="H1189" s="6" t="s">
        <v>272</v>
      </c>
      <c r="I1189" s="5" t="s">
        <v>305</v>
      </c>
      <c r="J1189" s="5" t="s">
        <v>1431</v>
      </c>
      <c r="K1189" s="5" t="s">
        <v>1430</v>
      </c>
    </row>
    <row r="1190" spans="2:11" ht="15.75" hidden="1" customHeight="1" x14ac:dyDescent="0.2">
      <c r="B1190" s="4" t="s">
        <v>1435</v>
      </c>
      <c r="C1190" s="6"/>
      <c r="D1190" s="6"/>
      <c r="E1190" s="5" t="s">
        <v>159</v>
      </c>
      <c r="F1190" s="4" t="s">
        <v>1747</v>
      </c>
      <c r="G1190" s="19" t="str">
        <f>HYPERLINK("http://bwc-india.org/Web/Awareness/LearnAbout/MagicShows.html","Beauty without cruelty India")</f>
        <v>Beauty without cruelty India</v>
      </c>
      <c r="H1190" s="6" t="s">
        <v>272</v>
      </c>
      <c r="I1190" s="5" t="s">
        <v>305</v>
      </c>
      <c r="J1190" s="5" t="s">
        <v>1492</v>
      </c>
      <c r="K1190" s="5" t="s">
        <v>204</v>
      </c>
    </row>
    <row r="1191" spans="2:11" ht="15.75" hidden="1" customHeight="1" x14ac:dyDescent="0.2">
      <c r="B1191" s="4" t="s">
        <v>1435</v>
      </c>
      <c r="C1191" s="4" t="s">
        <v>358</v>
      </c>
      <c r="D1191" s="4" t="s">
        <v>42</v>
      </c>
      <c r="E1191" s="5" t="s">
        <v>5</v>
      </c>
      <c r="F1191" s="4" t="s">
        <v>1746</v>
      </c>
      <c r="G1191" s="19" t="str">
        <f>HYPERLINK("https://www.facebook.com/PFAGBN/posts/2476234832396091","Facebook")</f>
        <v>Facebook</v>
      </c>
      <c r="H1191" s="6" t="s">
        <v>11</v>
      </c>
      <c r="I1191" s="5" t="s">
        <v>305</v>
      </c>
      <c r="J1191" s="5" t="s">
        <v>15</v>
      </c>
      <c r="K1191" s="5" t="s">
        <v>34</v>
      </c>
    </row>
    <row r="1192" spans="2:11" ht="15.75" hidden="1" customHeight="1" x14ac:dyDescent="0.2">
      <c r="B1192" s="4" t="s">
        <v>1435</v>
      </c>
      <c r="C1192" s="6" t="s">
        <v>95</v>
      </c>
      <c r="D1192" s="6" t="s">
        <v>94</v>
      </c>
      <c r="E1192" s="5" t="s">
        <v>159</v>
      </c>
      <c r="F1192" s="4" t="s">
        <v>1745</v>
      </c>
      <c r="G1192" s="19" t="s">
        <v>11</v>
      </c>
      <c r="H1192" s="6" t="s">
        <v>11</v>
      </c>
      <c r="I1192" s="5" t="s">
        <v>305</v>
      </c>
      <c r="J1192" s="5" t="s">
        <v>92</v>
      </c>
      <c r="K1192" s="5" t="s">
        <v>639</v>
      </c>
    </row>
    <row r="1193" spans="2:11" ht="15.75" hidden="1" customHeight="1" x14ac:dyDescent="0.2">
      <c r="B1193" s="4" t="s">
        <v>1435</v>
      </c>
      <c r="C1193" s="4" t="s">
        <v>1744</v>
      </c>
      <c r="D1193" s="4" t="s">
        <v>18</v>
      </c>
      <c r="E1193" s="5" t="s">
        <v>23</v>
      </c>
      <c r="F1193" s="4" t="s">
        <v>1743</v>
      </c>
      <c r="G1193" s="19" t="s">
        <v>3</v>
      </c>
      <c r="H1193" s="6" t="s">
        <v>3</v>
      </c>
      <c r="I1193" s="5" t="s">
        <v>305</v>
      </c>
      <c r="J1193" s="5" t="s">
        <v>1709</v>
      </c>
      <c r="K1193" s="5" t="s">
        <v>64</v>
      </c>
    </row>
    <row r="1194" spans="2:11" ht="15.75" hidden="1" customHeight="1" x14ac:dyDescent="0.2">
      <c r="B1194" s="4" t="s">
        <v>1435</v>
      </c>
      <c r="C1194" s="4" t="s">
        <v>1742</v>
      </c>
      <c r="D1194" s="4" t="s">
        <v>236</v>
      </c>
      <c r="E1194" s="5" t="s">
        <v>5</v>
      </c>
      <c r="F1194" s="4" t="s">
        <v>1741</v>
      </c>
      <c r="G1194" s="19" t="s">
        <v>1467</v>
      </c>
      <c r="H1194" s="6" t="s">
        <v>11</v>
      </c>
      <c r="I1194" s="5" t="s">
        <v>305</v>
      </c>
      <c r="J1194" s="5" t="s">
        <v>1700</v>
      </c>
      <c r="K1194" s="5" t="s">
        <v>34</v>
      </c>
    </row>
    <row r="1195" spans="2:11" ht="15.75" hidden="1" customHeight="1" x14ac:dyDescent="0.2">
      <c r="B1195" s="4" t="s">
        <v>1435</v>
      </c>
      <c r="C1195" s="18" t="s">
        <v>95</v>
      </c>
      <c r="D1195" s="18" t="s">
        <v>94</v>
      </c>
      <c r="E1195" s="5" t="s">
        <v>159</v>
      </c>
      <c r="F1195" s="4" t="s">
        <v>1740</v>
      </c>
      <c r="G1195" s="19" t="str">
        <f>HYPERLINK("https://www.youtube.com/watch?v=s6sxX9aSkog","Youtube (Animal Aid Unlimited)")</f>
        <v>Youtube (Animal Aid Unlimited)</v>
      </c>
      <c r="H1195" s="6" t="s">
        <v>272</v>
      </c>
      <c r="I1195" s="5" t="s">
        <v>305</v>
      </c>
      <c r="J1195" s="5" t="s">
        <v>1485</v>
      </c>
      <c r="K1195" s="5" t="s">
        <v>639</v>
      </c>
    </row>
    <row r="1196" spans="2:11" ht="15.75" hidden="1" customHeight="1" x14ac:dyDescent="0.2">
      <c r="B1196" s="4" t="s">
        <v>1435</v>
      </c>
      <c r="C1196" s="4" t="s">
        <v>139</v>
      </c>
      <c r="D1196" s="4" t="s">
        <v>18</v>
      </c>
      <c r="E1196" s="5" t="s">
        <v>5</v>
      </c>
      <c r="F1196" s="4" t="s">
        <v>1739</v>
      </c>
      <c r="G1196" s="19" t="str">
        <f>HYPERLINK("https://www.facebook.com/hoshang.irani/posts/1179510583157","Facebook")</f>
        <v>Facebook</v>
      </c>
      <c r="H1196" s="6" t="s">
        <v>11</v>
      </c>
      <c r="I1196" s="5" t="s">
        <v>305</v>
      </c>
      <c r="J1196" s="5" t="s">
        <v>1700</v>
      </c>
      <c r="K1196" s="5" t="s">
        <v>1430</v>
      </c>
    </row>
    <row r="1197" spans="2:11" ht="15.75" hidden="1" customHeight="1" x14ac:dyDescent="0.2">
      <c r="B1197" s="4" t="s">
        <v>1435</v>
      </c>
      <c r="C1197" s="4" t="s">
        <v>1738</v>
      </c>
      <c r="D1197" s="4" t="s">
        <v>150</v>
      </c>
      <c r="E1197" s="5" t="s">
        <v>159</v>
      </c>
      <c r="F1197" s="4" t="s">
        <v>1737</v>
      </c>
      <c r="G1197" s="19" t="str">
        <f>HYPERLINK("https://www.facebook.com/wingsandtail/posts/434626670692573","Facebook")</f>
        <v>Facebook</v>
      </c>
      <c r="H1197" s="6" t="s">
        <v>11</v>
      </c>
      <c r="I1197" s="5" t="s">
        <v>305</v>
      </c>
      <c r="J1197" s="5" t="s">
        <v>1431</v>
      </c>
      <c r="K1197" s="5" t="s">
        <v>1430</v>
      </c>
    </row>
    <row r="1198" spans="2:11" ht="15.75" hidden="1" customHeight="1" x14ac:dyDescent="0.2">
      <c r="B1198" s="4" t="s">
        <v>1435</v>
      </c>
      <c r="C1198" s="6" t="s">
        <v>1736</v>
      </c>
      <c r="D1198" s="6" t="s">
        <v>97</v>
      </c>
      <c r="E1198" s="5" t="s">
        <v>159</v>
      </c>
      <c r="F1198" s="4" t="s">
        <v>1735</v>
      </c>
      <c r="G1198" s="19" t="str">
        <f>HYPERLINK("https://odishatv.in/odisha/animal-cruelty-odisha-mans-cobra-video-reflects-disconcerting-trend-386889","News")</f>
        <v>News</v>
      </c>
      <c r="H1198" s="6" t="s">
        <v>3</v>
      </c>
      <c r="I1198" s="5" t="s">
        <v>305</v>
      </c>
      <c r="J1198" s="5" t="s">
        <v>1709</v>
      </c>
      <c r="K1198" s="5" t="s">
        <v>851</v>
      </c>
    </row>
    <row r="1199" spans="2:11" ht="15.75" hidden="1" customHeight="1" x14ac:dyDescent="0.2">
      <c r="B1199" s="4" t="s">
        <v>1435</v>
      </c>
      <c r="C1199" s="4" t="s">
        <v>228</v>
      </c>
      <c r="D1199" s="4" t="s">
        <v>36</v>
      </c>
      <c r="E1199" s="5" t="s">
        <v>159</v>
      </c>
      <c r="F1199" s="4" t="s">
        <v>1734</v>
      </c>
      <c r="G1199" s="19" t="s">
        <v>944</v>
      </c>
      <c r="H1199" s="6" t="s">
        <v>272</v>
      </c>
      <c r="I1199" s="5" t="s">
        <v>305</v>
      </c>
      <c r="J1199" s="5" t="s">
        <v>1485</v>
      </c>
      <c r="K1199" s="5" t="s">
        <v>34</v>
      </c>
    </row>
    <row r="1200" spans="2:11" ht="15.75" hidden="1" customHeight="1" x14ac:dyDescent="0.2">
      <c r="B1200" s="4" t="s">
        <v>1435</v>
      </c>
      <c r="C1200" s="6"/>
      <c r="D1200" s="6"/>
      <c r="E1200" s="5" t="s">
        <v>159</v>
      </c>
      <c r="F1200" s="4" t="s">
        <v>1733</v>
      </c>
      <c r="G1200" s="19" t="str">
        <f>HYPERLINK("https://www.facebook.com/groups/thepound/permalink/3135053736505104/","Facebook")</f>
        <v>Facebook</v>
      </c>
      <c r="H1200" s="6" t="s">
        <v>11</v>
      </c>
      <c r="I1200" s="5" t="s">
        <v>305</v>
      </c>
      <c r="J1200" s="5" t="s">
        <v>1709</v>
      </c>
      <c r="K1200" s="5" t="s">
        <v>19</v>
      </c>
    </row>
    <row r="1201" spans="2:11" ht="15.75" hidden="1" customHeight="1" x14ac:dyDescent="0.2">
      <c r="B1201" s="4" t="s">
        <v>1435</v>
      </c>
      <c r="C1201" s="6" t="s">
        <v>299</v>
      </c>
      <c r="D1201" s="6" t="s">
        <v>28</v>
      </c>
      <c r="E1201" s="5" t="s">
        <v>159</v>
      </c>
      <c r="F1201" s="4" t="s">
        <v>497</v>
      </c>
      <c r="G1201" s="19" t="s">
        <v>11</v>
      </c>
      <c r="H1201" s="6" t="s">
        <v>11</v>
      </c>
      <c r="I1201" s="5" t="s">
        <v>305</v>
      </c>
      <c r="J1201" s="5" t="s">
        <v>1485</v>
      </c>
      <c r="K1201" s="5" t="s">
        <v>108</v>
      </c>
    </row>
    <row r="1202" spans="2:11" ht="15.75" hidden="1" customHeight="1" x14ac:dyDescent="0.2">
      <c r="B1202" s="4" t="s">
        <v>1435</v>
      </c>
      <c r="C1202" s="4" t="s">
        <v>1732</v>
      </c>
      <c r="D1202" s="4" t="s">
        <v>42</v>
      </c>
      <c r="E1202" s="5" t="s">
        <v>23</v>
      </c>
      <c r="F1202" s="4" t="s">
        <v>1731</v>
      </c>
      <c r="G1202" s="19" t="str">
        <f>HYPERLINK("https://timesofindia.indiatimes.com/city/agra/16-snakes-rescued-from-snake-charmers-in-mathura-vrindavan/articleshow/70352981.cms","News")</f>
        <v>News</v>
      </c>
      <c r="H1202" s="6" t="s">
        <v>3</v>
      </c>
      <c r="I1202" s="5" t="s">
        <v>305</v>
      </c>
      <c r="J1202" s="5" t="s">
        <v>1441</v>
      </c>
      <c r="K1202" s="5" t="s">
        <v>509</v>
      </c>
    </row>
    <row r="1203" spans="2:11" ht="15.75" hidden="1" customHeight="1" x14ac:dyDescent="0.2">
      <c r="B1203" s="4" t="s">
        <v>1435</v>
      </c>
      <c r="C1203" s="4" t="s">
        <v>1730</v>
      </c>
      <c r="D1203" s="4" t="s">
        <v>77</v>
      </c>
      <c r="E1203" s="5" t="s">
        <v>159</v>
      </c>
      <c r="F1203" s="4" t="s">
        <v>1729</v>
      </c>
      <c r="G1203" s="19" t="str">
        <f>HYPERLINK("https://www.facebook.com/atulasgautam/posts/158144295355634","Facebook")</f>
        <v>Facebook</v>
      </c>
      <c r="H1203" s="6" t="s">
        <v>11</v>
      </c>
      <c r="I1203" s="5" t="s">
        <v>305</v>
      </c>
      <c r="J1203" s="5" t="s">
        <v>1485</v>
      </c>
      <c r="K1203" s="5" t="s">
        <v>1430</v>
      </c>
    </row>
    <row r="1204" spans="2:11" ht="15.75" hidden="1" customHeight="1" x14ac:dyDescent="0.2">
      <c r="B1204" s="4" t="s">
        <v>1435</v>
      </c>
      <c r="C1204" s="4" t="s">
        <v>382</v>
      </c>
      <c r="D1204" s="4" t="s">
        <v>77</v>
      </c>
      <c r="E1204" s="5" t="s">
        <v>159</v>
      </c>
      <c r="F1204" s="4" t="s">
        <v>1728</v>
      </c>
      <c r="G1204" s="19" t="str">
        <f>HYPERLINK("https://www.facebook.com/groups/thepound/permalink/3135564713120673/","Facebook")</f>
        <v>Facebook</v>
      </c>
      <c r="H1204" s="6" t="s">
        <v>11</v>
      </c>
      <c r="I1204" s="5" t="s">
        <v>305</v>
      </c>
      <c r="J1204" s="5" t="s">
        <v>1485</v>
      </c>
      <c r="K1204" s="5" t="s">
        <v>639</v>
      </c>
    </row>
    <row r="1205" spans="2:11" ht="15.75" hidden="1" customHeight="1" x14ac:dyDescent="0.2">
      <c r="B1205" s="4" t="s">
        <v>1435</v>
      </c>
      <c r="C1205" s="4" t="s">
        <v>1727</v>
      </c>
      <c r="D1205" s="4" t="s">
        <v>77</v>
      </c>
      <c r="E1205" s="5" t="s">
        <v>159</v>
      </c>
      <c r="F1205" s="4" t="s">
        <v>1726</v>
      </c>
      <c r="G1205" s="19" t="str">
        <f>HYPERLINK("https://www.facebook.com/groups/thepound/permalink/3137191092958035/","Facebook")</f>
        <v>Facebook</v>
      </c>
      <c r="H1205" s="6" t="s">
        <v>11</v>
      </c>
      <c r="I1205" s="5" t="s">
        <v>305</v>
      </c>
      <c r="J1205" s="5" t="s">
        <v>1709</v>
      </c>
      <c r="K1205" s="5" t="s">
        <v>19</v>
      </c>
    </row>
    <row r="1206" spans="2:11" ht="15.75" hidden="1" customHeight="1" x14ac:dyDescent="0.2">
      <c r="B1206" s="4" t="s">
        <v>1435</v>
      </c>
      <c r="C1206" s="4" t="s">
        <v>1699</v>
      </c>
      <c r="D1206" s="4" t="s">
        <v>71</v>
      </c>
      <c r="E1206" s="5" t="s">
        <v>159</v>
      </c>
      <c r="F1206" s="4" t="s">
        <v>1725</v>
      </c>
      <c r="G1206" s="19" t="str">
        <f>HYPERLINK("https://www.facebook.com/asswinproject/posts/2346862738677495","Facebook (The Asswin Project)")</f>
        <v>Facebook (The Asswin Project)</v>
      </c>
      <c r="H1206" s="6" t="s">
        <v>272</v>
      </c>
      <c r="I1206" s="5" t="s">
        <v>305</v>
      </c>
      <c r="J1206" s="5" t="s">
        <v>1485</v>
      </c>
      <c r="K1206" s="5" t="s">
        <v>639</v>
      </c>
    </row>
    <row r="1207" spans="2:11" ht="15.75" hidden="1" customHeight="1" x14ac:dyDescent="0.2">
      <c r="B1207" s="4" t="s">
        <v>1435</v>
      </c>
      <c r="C1207" s="6"/>
      <c r="D1207" s="4" t="s">
        <v>18</v>
      </c>
      <c r="E1207" s="5" t="s">
        <v>23</v>
      </c>
      <c r="F1207" s="4" t="s">
        <v>1724</v>
      </c>
      <c r="G1207" s="19" t="str">
        <f>HYPERLINK("https://www.animalrahat.com/latest-news/43-donkeys-and-2-foals-rescued-from-cruel-illegal-labor/","Animal Rahat")</f>
        <v>Animal Rahat</v>
      </c>
      <c r="H1207" s="6" t="s">
        <v>1620</v>
      </c>
      <c r="I1207" s="5" t="s">
        <v>305</v>
      </c>
      <c r="J1207" s="5" t="s">
        <v>1431</v>
      </c>
      <c r="K1207" s="5" t="s">
        <v>639</v>
      </c>
    </row>
    <row r="1208" spans="2:11" ht="15.75" hidden="1" customHeight="1" x14ac:dyDescent="0.2">
      <c r="B1208" s="4" t="s">
        <v>1435</v>
      </c>
      <c r="C1208" s="6" t="s">
        <v>137</v>
      </c>
      <c r="D1208" s="4" t="s">
        <v>71</v>
      </c>
      <c r="E1208" s="5" t="s">
        <v>159</v>
      </c>
      <c r="F1208" s="4" t="s">
        <v>1723</v>
      </c>
      <c r="G1208" s="19" t="str">
        <f>HYPERLINK("https://www.facebook.com/asswinproject/posts/2980467465317016","Facebook (The Asswin Project)")</f>
        <v>Facebook (The Asswin Project)</v>
      </c>
      <c r="H1208" s="6" t="s">
        <v>272</v>
      </c>
      <c r="I1208" s="5" t="s">
        <v>305</v>
      </c>
      <c r="J1208" s="5" t="s">
        <v>1485</v>
      </c>
      <c r="K1208" s="5" t="s">
        <v>639</v>
      </c>
    </row>
    <row r="1209" spans="2:11" ht="15.75" hidden="1" customHeight="1" x14ac:dyDescent="0.2">
      <c r="B1209" s="4" t="s">
        <v>1435</v>
      </c>
      <c r="C1209" s="6" t="s">
        <v>299</v>
      </c>
      <c r="D1209" s="6" t="s">
        <v>28</v>
      </c>
      <c r="E1209" s="5" t="s">
        <v>159</v>
      </c>
      <c r="F1209" s="4" t="s">
        <v>1722</v>
      </c>
      <c r="G1209" s="19" t="s">
        <v>11</v>
      </c>
      <c r="H1209" s="6" t="s">
        <v>11</v>
      </c>
      <c r="I1209" s="5" t="s">
        <v>305</v>
      </c>
      <c r="J1209" s="5" t="s">
        <v>1485</v>
      </c>
      <c r="K1209" s="5" t="s">
        <v>1430</v>
      </c>
    </row>
    <row r="1210" spans="2:11" ht="15.75" hidden="1" customHeight="1" x14ac:dyDescent="0.2">
      <c r="B1210" s="4" t="s">
        <v>1435</v>
      </c>
      <c r="C1210" s="4" t="s">
        <v>313</v>
      </c>
      <c r="D1210" s="4" t="s">
        <v>42</v>
      </c>
      <c r="E1210" s="5" t="s">
        <v>5</v>
      </c>
      <c r="F1210" s="4" t="s">
        <v>1721</v>
      </c>
      <c r="G1210" s="19" t="str">
        <f>HYPERLINK("https://timesofindia.indiatimes.com/city/agra/up-over-100-snakes-recovered-during-shravan-month/articleshow/70662215.cms","News")</f>
        <v>News</v>
      </c>
      <c r="H1210" s="6" t="s">
        <v>3</v>
      </c>
      <c r="I1210" s="5" t="s">
        <v>305</v>
      </c>
      <c r="J1210" s="5" t="s">
        <v>1522</v>
      </c>
      <c r="K1210" s="5" t="s">
        <v>509</v>
      </c>
    </row>
    <row r="1211" spans="2:11" ht="15.75" hidden="1" customHeight="1" x14ac:dyDescent="0.2">
      <c r="B1211" s="4" t="s">
        <v>1435</v>
      </c>
      <c r="C1211" s="4" t="s">
        <v>1363</v>
      </c>
      <c r="D1211" s="4" t="s">
        <v>66</v>
      </c>
      <c r="E1211" s="5" t="s">
        <v>5</v>
      </c>
      <c r="F1211" s="4" t="s">
        <v>1720</v>
      </c>
      <c r="G1211" s="19" t="str">
        <f>HYPERLINK("https://www.thehindu.com/news/national/kerala/16-captive-elephants-lost-their-lives-in-state-so-far-this-year/article29113256.ece","News")</f>
        <v>News</v>
      </c>
      <c r="H1211" s="6" t="s">
        <v>3</v>
      </c>
      <c r="I1211" s="5" t="s">
        <v>305</v>
      </c>
      <c r="J1211" s="5" t="s">
        <v>92</v>
      </c>
      <c r="K1211" s="5" t="s">
        <v>64</v>
      </c>
    </row>
    <row r="1212" spans="2:11" ht="15.75" hidden="1" customHeight="1" x14ac:dyDescent="0.2">
      <c r="B1212" s="4" t="s">
        <v>1435</v>
      </c>
      <c r="C1212" s="5" t="s">
        <v>408</v>
      </c>
      <c r="D1212" s="5" t="s">
        <v>28</v>
      </c>
      <c r="E1212" s="5" t="s">
        <v>5</v>
      </c>
      <c r="F1212" s="4" t="s">
        <v>1719</v>
      </c>
      <c r="G1212" s="14" t="s">
        <v>3</v>
      </c>
      <c r="H1212" s="6" t="s">
        <v>3</v>
      </c>
      <c r="I1212" s="5" t="s">
        <v>1647</v>
      </c>
      <c r="J1212" s="5" t="s">
        <v>50</v>
      </c>
      <c r="K1212" s="5" t="s">
        <v>0</v>
      </c>
    </row>
    <row r="1213" spans="2:11" ht="15.75" hidden="1" customHeight="1" x14ac:dyDescent="0.2">
      <c r="B1213" s="4" t="s">
        <v>1435</v>
      </c>
      <c r="C1213" s="5" t="s">
        <v>98</v>
      </c>
      <c r="D1213" s="5" t="s">
        <v>97</v>
      </c>
      <c r="E1213" s="5" t="s">
        <v>23</v>
      </c>
      <c r="F1213" s="4" t="s">
        <v>1718</v>
      </c>
      <c r="G1213" s="14" t="s">
        <v>3</v>
      </c>
      <c r="H1213" s="6" t="s">
        <v>3</v>
      </c>
      <c r="I1213" s="5" t="s">
        <v>1647</v>
      </c>
      <c r="J1213" s="5" t="s">
        <v>1717</v>
      </c>
      <c r="K1213" s="5" t="s">
        <v>509</v>
      </c>
    </row>
    <row r="1214" spans="2:11" ht="15.75" hidden="1" customHeight="1" x14ac:dyDescent="0.2">
      <c r="B1214" s="4" t="s">
        <v>1435</v>
      </c>
      <c r="C1214" s="4" t="s">
        <v>170</v>
      </c>
      <c r="D1214" s="4" t="s">
        <v>88</v>
      </c>
      <c r="E1214" s="5" t="s">
        <v>159</v>
      </c>
      <c r="F1214" s="4" t="s">
        <v>1716</v>
      </c>
      <c r="G1214" s="19" t="str">
        <f>HYPERLINK("https://www.facebook.com/groups/thepound/permalink/3197137390296738/","Facebook")</f>
        <v>Facebook</v>
      </c>
      <c r="H1214" s="6" t="s">
        <v>11</v>
      </c>
      <c r="I1214" s="5" t="s">
        <v>305</v>
      </c>
      <c r="J1214" s="5" t="s">
        <v>1485</v>
      </c>
      <c r="K1214" s="5" t="s">
        <v>1430</v>
      </c>
    </row>
    <row r="1215" spans="2:11" ht="15.75" hidden="1" customHeight="1" x14ac:dyDescent="0.2">
      <c r="B1215" s="4" t="s">
        <v>1435</v>
      </c>
      <c r="C1215" s="4" t="s">
        <v>98</v>
      </c>
      <c r="D1215" s="4" t="s">
        <v>97</v>
      </c>
      <c r="E1215" s="5" t="s">
        <v>23</v>
      </c>
      <c r="F1215" s="4" t="s">
        <v>1715</v>
      </c>
      <c r="G1215" s="19" t="str">
        <f>HYPERLINK("https://timesofindia.indiatimes.com/city/bhubaneswar/youth-from-bengal-held-in-city-with-rare-flying-snake/articleshow/70760889.cms","News")</f>
        <v>News</v>
      </c>
      <c r="H1215" s="6" t="s">
        <v>3</v>
      </c>
      <c r="I1215" s="5" t="s">
        <v>305</v>
      </c>
      <c r="J1215" s="5" t="s">
        <v>1522</v>
      </c>
      <c r="K1215" s="5" t="s">
        <v>1714</v>
      </c>
    </row>
    <row r="1216" spans="2:11" ht="15.75" hidden="1" customHeight="1" x14ac:dyDescent="0.2">
      <c r="B1216" s="4" t="s">
        <v>1435</v>
      </c>
      <c r="C1216" s="4" t="s">
        <v>1713</v>
      </c>
      <c r="D1216" s="4" t="s">
        <v>47</v>
      </c>
      <c r="E1216" s="5" t="s">
        <v>23</v>
      </c>
      <c r="F1216" s="4" t="s">
        <v>1712</v>
      </c>
      <c r="G1216" s="19" t="str">
        <f>HYPERLINK("https://www.indiatoday.in/india/story/assam-saved-from-slaughter-camel-dies-awaiting-court-order-1592352-2019-08-28","News")</f>
        <v>News</v>
      </c>
      <c r="H1216" s="6" t="s">
        <v>3</v>
      </c>
      <c r="I1216" s="5" t="s">
        <v>305</v>
      </c>
      <c r="J1216" s="5" t="s">
        <v>1522</v>
      </c>
      <c r="K1216" s="5" t="s">
        <v>840</v>
      </c>
    </row>
    <row r="1217" spans="2:11" ht="15.75" hidden="1" customHeight="1" x14ac:dyDescent="0.2">
      <c r="B1217" s="4" t="s">
        <v>1435</v>
      </c>
      <c r="C1217" s="4" t="s">
        <v>1711</v>
      </c>
      <c r="D1217" s="4" t="s">
        <v>150</v>
      </c>
      <c r="E1217" s="5" t="s">
        <v>159</v>
      </c>
      <c r="F1217" s="4" t="s">
        <v>1710</v>
      </c>
      <c r="G1217" s="19" t="str">
        <f>HYPERLINK("https://www.facebook.com/photo.php?fbid=3139576379450753&amp;set=pcb.2449058895159993&amp;type=3&amp;theater&amp;ifg=1","Facebook")</f>
        <v>Facebook</v>
      </c>
      <c r="H1217" s="6" t="s">
        <v>11</v>
      </c>
      <c r="I1217" s="5" t="s">
        <v>305</v>
      </c>
      <c r="J1217" s="5" t="s">
        <v>1709</v>
      </c>
      <c r="K1217" s="5" t="s">
        <v>19</v>
      </c>
    </row>
    <row r="1218" spans="2:11" ht="15.75" hidden="1" customHeight="1" x14ac:dyDescent="0.2">
      <c r="B1218" s="4" t="s">
        <v>1435</v>
      </c>
      <c r="C1218" s="4" t="s">
        <v>130</v>
      </c>
      <c r="D1218" s="4" t="s">
        <v>77</v>
      </c>
      <c r="E1218" s="5" t="s">
        <v>23</v>
      </c>
      <c r="F1218" s="4" t="s">
        <v>1708</v>
      </c>
      <c r="G1218" s="19" t="str">
        <f>HYPERLINK("https://www.newindianexpress.com/cities/chennai/2019/feb/09/horse-dies-as-rider-rams-it-into-private-bus-near-the-marina-1936453.html","News")</f>
        <v>News</v>
      </c>
      <c r="H1218" s="6" t="s">
        <v>3</v>
      </c>
      <c r="I1218" s="5" t="s">
        <v>305</v>
      </c>
      <c r="J1218" s="5" t="s">
        <v>1700</v>
      </c>
      <c r="K1218" s="5" t="s">
        <v>1430</v>
      </c>
    </row>
    <row r="1219" spans="2:11" ht="15.75" hidden="1" customHeight="1" x14ac:dyDescent="0.2">
      <c r="B1219" s="4" t="s">
        <v>1435</v>
      </c>
      <c r="C1219" s="18" t="s">
        <v>95</v>
      </c>
      <c r="D1219" s="18" t="s">
        <v>94</v>
      </c>
      <c r="E1219" s="5" t="s">
        <v>159</v>
      </c>
      <c r="F1219" s="4" t="s">
        <v>1707</v>
      </c>
      <c r="G1219" s="19" t="str">
        <f>HYPERLINK("https://www.youtube.com/watch?v=Mr_gB3jTSh4","Youtube (Animal Aid Unlimited)")</f>
        <v>Youtube (Animal Aid Unlimited)</v>
      </c>
      <c r="H1219" s="6" t="s">
        <v>272</v>
      </c>
      <c r="I1219" s="5" t="s">
        <v>305</v>
      </c>
      <c r="J1219" s="5" t="s">
        <v>1485</v>
      </c>
      <c r="K1219" s="5" t="s">
        <v>639</v>
      </c>
    </row>
    <row r="1220" spans="2:11" ht="15.75" hidden="1" customHeight="1" x14ac:dyDescent="0.2">
      <c r="B1220" s="4" t="s">
        <v>1435</v>
      </c>
      <c r="C1220" s="4" t="s">
        <v>1706</v>
      </c>
      <c r="D1220" s="4" t="s">
        <v>150</v>
      </c>
      <c r="E1220" s="5" t="s">
        <v>159</v>
      </c>
      <c r="F1220" s="4" t="s">
        <v>1705</v>
      </c>
      <c r="G1220" s="19" t="str">
        <f>HYPERLINK("https://www.facebook.com/gauravguptapfa/videos/1255982931248125/?hc_ref=ARSQFR8iRfrxrF-JxQtbjPg4EYDWZW0ALeYkgXSxlZuUHeUiomExc1j9BCccglN8tHM&amp;fref=gs&amp;dti=376516153177730&amp;hc_location=group","Facebook")</f>
        <v>Facebook</v>
      </c>
      <c r="H1220" s="6" t="s">
        <v>11</v>
      </c>
      <c r="I1220" s="5" t="s">
        <v>305</v>
      </c>
      <c r="J1220" s="5" t="s">
        <v>1431</v>
      </c>
      <c r="K1220" s="5" t="s">
        <v>840</v>
      </c>
    </row>
    <row r="1221" spans="2:11" ht="15.75" hidden="1" customHeight="1" x14ac:dyDescent="0.2">
      <c r="B1221" s="4" t="s">
        <v>1435</v>
      </c>
      <c r="C1221" s="4" t="s">
        <v>706</v>
      </c>
      <c r="D1221" s="4" t="s">
        <v>18</v>
      </c>
      <c r="E1221" s="5" t="s">
        <v>23</v>
      </c>
      <c r="F1221" s="4" t="s">
        <v>1704</v>
      </c>
      <c r="G1221" s="19" t="str">
        <f>HYPERLINK("https://timesofindia.indiatimes.com/city/nagpur/fir-against-gajbhiyes-mandal-for-cruelty-to-animals/articleshow/71157388.cms","News")</f>
        <v>News</v>
      </c>
      <c r="H1221" s="6" t="s">
        <v>3</v>
      </c>
      <c r="I1221" s="5" t="s">
        <v>305</v>
      </c>
      <c r="J1221" s="5" t="s">
        <v>1686</v>
      </c>
      <c r="K1221" s="5" t="s">
        <v>34</v>
      </c>
    </row>
    <row r="1222" spans="2:11" ht="15.75" hidden="1" customHeight="1" x14ac:dyDescent="0.2">
      <c r="B1222" s="4" t="s">
        <v>1435</v>
      </c>
      <c r="C1222" s="6"/>
      <c r="D1222" s="6"/>
      <c r="E1222" s="5" t="s">
        <v>159</v>
      </c>
      <c r="F1222" s="4" t="s">
        <v>1703</v>
      </c>
      <c r="G1222" s="19" t="str">
        <f>HYPERLINK("https://www.facebook.com/pinkiisharmaa/posts/2453294231422900","Facebook")</f>
        <v>Facebook</v>
      </c>
      <c r="H1222" s="6" t="s">
        <v>11</v>
      </c>
      <c r="I1222" s="5" t="s">
        <v>305</v>
      </c>
      <c r="J1222" s="5" t="s">
        <v>1431</v>
      </c>
      <c r="K1222" s="5" t="s">
        <v>1430</v>
      </c>
    </row>
    <row r="1223" spans="2:11" ht="15.75" hidden="1" customHeight="1" x14ac:dyDescent="0.2">
      <c r="B1223" s="4" t="s">
        <v>1435</v>
      </c>
      <c r="C1223" s="4" t="s">
        <v>1702</v>
      </c>
      <c r="D1223" s="4" t="s">
        <v>236</v>
      </c>
      <c r="E1223" s="5" t="s">
        <v>5</v>
      </c>
      <c r="F1223" s="4" t="s">
        <v>1701</v>
      </c>
      <c r="G1223" s="19" t="str">
        <f>HYPERLINK("https://www.incrediblegoa.org/focus/a-youth-injured-in-illegal-bull-fight-organised-by-locals-at-goa-velha/","News")</f>
        <v>News</v>
      </c>
      <c r="H1223" s="6" t="s">
        <v>3</v>
      </c>
      <c r="I1223" s="5" t="s">
        <v>305</v>
      </c>
      <c r="J1223" s="5" t="s">
        <v>1700</v>
      </c>
      <c r="K1223" s="5" t="s">
        <v>34</v>
      </c>
    </row>
    <row r="1224" spans="2:11" ht="15.75" hidden="1" customHeight="1" x14ac:dyDescent="0.2">
      <c r="B1224" s="4" t="s">
        <v>1435</v>
      </c>
      <c r="C1224" s="6" t="s">
        <v>1699</v>
      </c>
      <c r="D1224" s="4" t="s">
        <v>71</v>
      </c>
      <c r="E1224" s="5" t="s">
        <v>159</v>
      </c>
      <c r="F1224" s="4" t="s">
        <v>1698</v>
      </c>
      <c r="G1224" s="19" t="str">
        <f>HYPERLINK("https://www.facebook.com/asswinproject/posts/2861713157192448","Facebook (The Asswin Project)")</f>
        <v>Facebook (The Asswin Project)</v>
      </c>
      <c r="H1224" s="6" t="s">
        <v>272</v>
      </c>
      <c r="I1224" s="5" t="s">
        <v>305</v>
      </c>
      <c r="J1224" s="5" t="s">
        <v>1485</v>
      </c>
      <c r="K1224" s="5" t="s">
        <v>639</v>
      </c>
    </row>
    <row r="1225" spans="2:11" ht="15.75" hidden="1" customHeight="1" x14ac:dyDescent="0.2">
      <c r="B1225" s="4" t="s">
        <v>1435</v>
      </c>
      <c r="C1225" s="6"/>
      <c r="D1225" s="4" t="s">
        <v>150</v>
      </c>
      <c r="E1225" s="5" t="s">
        <v>159</v>
      </c>
      <c r="F1225" s="4" t="s">
        <v>1697</v>
      </c>
      <c r="G1225" s="19" t="str">
        <f>HYPERLINK("https://www.facebook.com/asswinproject/posts/2871384902891940","Facebook (The Asswin Project)")</f>
        <v>Facebook (The Asswin Project)</v>
      </c>
      <c r="H1225" s="6" t="s">
        <v>272</v>
      </c>
      <c r="I1225" s="5" t="s">
        <v>305</v>
      </c>
      <c r="J1225" s="5" t="s">
        <v>1485</v>
      </c>
      <c r="K1225" s="5" t="s">
        <v>639</v>
      </c>
    </row>
    <row r="1226" spans="2:11" ht="15.75" hidden="1" customHeight="1" x14ac:dyDescent="0.2">
      <c r="B1226" s="4" t="s">
        <v>1435</v>
      </c>
      <c r="C1226" s="4" t="s">
        <v>1696</v>
      </c>
      <c r="D1226" s="4" t="s">
        <v>77</v>
      </c>
      <c r="E1226" s="5" t="s">
        <v>23</v>
      </c>
      <c r="F1226" s="4" t="s">
        <v>1695</v>
      </c>
      <c r="G1226" s="19" t="str">
        <f>HYPERLINK("https://timesofindia.indiatimes.com/city/chennai/elephants-beaten-up-while-being-shifted/articleshow/71343644.cms","News")</f>
        <v>News</v>
      </c>
      <c r="H1226" s="6" t="s">
        <v>3</v>
      </c>
      <c r="I1226" s="5" t="s">
        <v>305</v>
      </c>
      <c r="J1226" s="5" t="s">
        <v>15</v>
      </c>
      <c r="K1226" s="5" t="s">
        <v>64</v>
      </c>
    </row>
    <row r="1227" spans="2:11" ht="15.75" hidden="1" customHeight="1" x14ac:dyDescent="0.2">
      <c r="B1227" s="4" t="s">
        <v>1435</v>
      </c>
      <c r="C1227" s="6"/>
      <c r="D1227" s="4" t="s">
        <v>150</v>
      </c>
      <c r="E1227" s="5" t="s">
        <v>159</v>
      </c>
      <c r="F1227" s="4" t="s">
        <v>1694</v>
      </c>
      <c r="G1227" s="19" t="str">
        <f>HYPERLINK("https://www.facebook.com/asswinproject/posts/2885336974830066","Facebook (The Asswin Project)")</f>
        <v>Facebook (The Asswin Project)</v>
      </c>
      <c r="H1227" s="6" t="s">
        <v>272</v>
      </c>
      <c r="I1227" s="5" t="s">
        <v>305</v>
      </c>
      <c r="J1227" s="5" t="s">
        <v>1485</v>
      </c>
      <c r="K1227" s="5" t="s">
        <v>1430</v>
      </c>
    </row>
    <row r="1228" spans="2:11" ht="15.75" hidden="1" customHeight="1" x14ac:dyDescent="0.2">
      <c r="B1228" s="4" t="s">
        <v>1435</v>
      </c>
      <c r="C1228" s="4" t="s">
        <v>111</v>
      </c>
      <c r="D1228" s="4" t="s">
        <v>24</v>
      </c>
      <c r="E1228" s="5" t="s">
        <v>159</v>
      </c>
      <c r="F1228" s="4" t="s">
        <v>1693</v>
      </c>
      <c r="G1228" s="19" t="str">
        <f>HYPERLINK("https://www.facebook.com/prem.paul.92/posts/2371050466272294","Facebook ")</f>
        <v xml:space="preserve">Facebook </v>
      </c>
      <c r="H1228" s="6" t="s">
        <v>11</v>
      </c>
      <c r="I1228" s="5" t="s">
        <v>305</v>
      </c>
      <c r="J1228" s="5" t="s">
        <v>1431</v>
      </c>
      <c r="K1228" s="5" t="s">
        <v>840</v>
      </c>
    </row>
    <row r="1229" spans="2:11" ht="15.75" hidden="1" customHeight="1" x14ac:dyDescent="0.2">
      <c r="B1229" s="4" t="s">
        <v>1435</v>
      </c>
      <c r="C1229" s="4"/>
      <c r="D1229" s="4" t="s">
        <v>150</v>
      </c>
      <c r="E1229" s="5" t="s">
        <v>159</v>
      </c>
      <c r="F1229" s="4" t="s">
        <v>1692</v>
      </c>
      <c r="G1229" s="19" t="str">
        <f>HYPERLINK("https://www.petaindia.com/blog/peta-india-speaks-out-following-deadly-disease-outbreak-in-horses-used-for-weddings-delhi-government-takes-action/","Peta India")</f>
        <v>Peta India</v>
      </c>
      <c r="H1229" s="6" t="s">
        <v>272</v>
      </c>
      <c r="I1229" s="5" t="s">
        <v>305</v>
      </c>
      <c r="J1229" s="5" t="s">
        <v>1431</v>
      </c>
      <c r="K1229" s="5" t="s">
        <v>1430</v>
      </c>
    </row>
    <row r="1230" spans="2:11" ht="15.75" hidden="1" customHeight="1" x14ac:dyDescent="0.2">
      <c r="B1230" s="4" t="s">
        <v>1435</v>
      </c>
      <c r="C1230" s="6"/>
      <c r="D1230" s="6"/>
      <c r="E1230" s="5" t="s">
        <v>5</v>
      </c>
      <c r="F1230" s="4" t="s">
        <v>1691</v>
      </c>
      <c r="G1230" s="19" t="str">
        <f>HYPERLINK("https://www.facebook.com/ThePinkRevolutionn/posts/due-to-overloading-the-horse-fell-in-the-mouth-and-broke-his-teeth-no-court-no-l/2339448046267111/","Facebook")</f>
        <v>Facebook</v>
      </c>
      <c r="H1230" s="6" t="s">
        <v>11</v>
      </c>
      <c r="I1230" s="5" t="s">
        <v>305</v>
      </c>
      <c r="J1230" s="5" t="s">
        <v>1431</v>
      </c>
      <c r="K1230" s="5" t="s">
        <v>1430</v>
      </c>
    </row>
    <row r="1231" spans="2:11" ht="15.75" hidden="1" customHeight="1" x14ac:dyDescent="0.2">
      <c r="B1231" s="4" t="s">
        <v>1435</v>
      </c>
      <c r="C1231" s="6" t="s">
        <v>141</v>
      </c>
      <c r="D1231" s="6" t="s">
        <v>71</v>
      </c>
      <c r="E1231" s="5" t="s">
        <v>159</v>
      </c>
      <c r="F1231" s="4" t="s">
        <v>1690</v>
      </c>
      <c r="G1231" s="19" t="str">
        <f>HYPERLINK("https://www.facebook.com/asswinproject/posts/2834841876546243","Facebook (The Asswin Project)")</f>
        <v>Facebook (The Asswin Project)</v>
      </c>
      <c r="H1231" s="6" t="s">
        <v>272</v>
      </c>
      <c r="I1231" s="5" t="s">
        <v>305</v>
      </c>
      <c r="J1231" s="5" t="s">
        <v>1485</v>
      </c>
      <c r="K1231" s="5" t="s">
        <v>1430</v>
      </c>
    </row>
    <row r="1232" spans="2:11" ht="15.75" hidden="1" customHeight="1" x14ac:dyDescent="0.2">
      <c r="B1232" s="4" t="s">
        <v>1435</v>
      </c>
      <c r="C1232" s="4" t="s">
        <v>1689</v>
      </c>
      <c r="D1232" s="4" t="s">
        <v>66</v>
      </c>
      <c r="E1232" s="5" t="s">
        <v>5</v>
      </c>
      <c r="F1232" s="4" t="s">
        <v>1688</v>
      </c>
      <c r="G1232" s="19" t="str">
        <f>HYPERLINK("https://www.deccanherald.com/national/south/kerala-tuskers-paraded-in-temple-despite-restrictions-784135.html","News")</f>
        <v>News</v>
      </c>
      <c r="H1232" s="6" t="s">
        <v>3</v>
      </c>
      <c r="I1232" s="5" t="s">
        <v>305</v>
      </c>
      <c r="J1232" s="5" t="s">
        <v>1439</v>
      </c>
      <c r="K1232" s="5" t="s">
        <v>64</v>
      </c>
    </row>
    <row r="1233" spans="2:11" ht="15.75" hidden="1" customHeight="1" x14ac:dyDescent="0.2">
      <c r="B1233" s="4" t="s">
        <v>1435</v>
      </c>
      <c r="C1233" s="4" t="s">
        <v>388</v>
      </c>
      <c r="D1233" s="4" t="s">
        <v>28</v>
      </c>
      <c r="E1233" s="5" t="s">
        <v>23</v>
      </c>
      <c r="F1233" s="4" t="s">
        <v>1687</v>
      </c>
      <c r="G1233" s="19" t="str">
        <f>HYPERLINK("https://timesofindia.indiatimes.com/city/rajkot/five-held-for-playing-garba-holding-snakes-in-gujarat/articleshow/71562162.cms","News")</f>
        <v>News</v>
      </c>
      <c r="H1233" s="6" t="s">
        <v>3</v>
      </c>
      <c r="I1233" s="5" t="s">
        <v>305</v>
      </c>
      <c r="J1233" s="5" t="s">
        <v>1686</v>
      </c>
      <c r="K1233" s="5" t="s">
        <v>509</v>
      </c>
    </row>
    <row r="1234" spans="2:11" ht="15.75" hidden="1" customHeight="1" x14ac:dyDescent="0.2">
      <c r="B1234" s="4" t="s">
        <v>1435</v>
      </c>
      <c r="C1234" s="4" t="s">
        <v>256</v>
      </c>
      <c r="D1234" s="4" t="s">
        <v>42</v>
      </c>
      <c r="E1234" s="5" t="s">
        <v>81</v>
      </c>
      <c r="F1234" s="4" t="s">
        <v>1685</v>
      </c>
      <c r="G1234" s="19" t="str">
        <f>HYPERLINK("https://timesofindia.indiatimes.com/city/meerut/case-registered-against-organisers-ofbullock-cart-race-after-video-goes-viral/articleshow/71569612.cms","News")</f>
        <v>News</v>
      </c>
      <c r="H1234" s="6" t="s">
        <v>3</v>
      </c>
      <c r="I1234" s="5" t="s">
        <v>305</v>
      </c>
      <c r="J1234" s="5" t="s">
        <v>1455</v>
      </c>
      <c r="K1234" s="5" t="s">
        <v>34</v>
      </c>
    </row>
    <row r="1235" spans="2:11" ht="15.75" hidden="1" customHeight="1" x14ac:dyDescent="0.2">
      <c r="B1235" s="4" t="s">
        <v>1435</v>
      </c>
      <c r="C1235" s="4" t="s">
        <v>1684</v>
      </c>
      <c r="D1235" s="4" t="s">
        <v>236</v>
      </c>
      <c r="E1235" s="5" t="s">
        <v>23</v>
      </c>
      <c r="F1235" s="4" t="s">
        <v>1683</v>
      </c>
      <c r="G1235" s="19" t="str">
        <f>HYPERLINK("https://www.heraldgoa.in/Goa/Dhirio-lovers-disappointed-as-police-prevent-bullfight-/152335","News")</f>
        <v>News</v>
      </c>
      <c r="H1235" s="6" t="s">
        <v>3</v>
      </c>
      <c r="I1235" s="5" t="s">
        <v>305</v>
      </c>
      <c r="J1235" s="5" t="s">
        <v>1455</v>
      </c>
      <c r="K1235" s="5" t="s">
        <v>34</v>
      </c>
    </row>
    <row r="1236" spans="2:11" ht="15.75" hidden="1" customHeight="1" x14ac:dyDescent="0.2">
      <c r="B1236" s="4" t="s">
        <v>1435</v>
      </c>
      <c r="C1236" s="4" t="s">
        <v>56</v>
      </c>
      <c r="D1236" s="4" t="s">
        <v>18</v>
      </c>
      <c r="E1236" s="5" t="s">
        <v>159</v>
      </c>
      <c r="F1236" s="4" t="s">
        <v>1682</v>
      </c>
      <c r="G1236" s="19" t="str">
        <f>HYPERLINK("https://www.newsflare.com/video/317877/rare-instance-bull-horse-is-trained-together-to-race-for-upcoming-event-in-western-india","News")</f>
        <v>News</v>
      </c>
      <c r="H1236" s="6" t="s">
        <v>3</v>
      </c>
      <c r="I1236" s="5" t="s">
        <v>305</v>
      </c>
      <c r="J1236" s="5" t="s">
        <v>1455</v>
      </c>
      <c r="K1236" s="5" t="s">
        <v>34</v>
      </c>
    </row>
    <row r="1237" spans="2:11" ht="15.75" hidden="1" customHeight="1" x14ac:dyDescent="0.2">
      <c r="B1237" s="4" t="s">
        <v>1435</v>
      </c>
      <c r="C1237" s="6"/>
      <c r="D1237" s="4" t="s">
        <v>150</v>
      </c>
      <c r="E1237" s="5" t="s">
        <v>55</v>
      </c>
      <c r="F1237" s="4" t="s">
        <v>1681</v>
      </c>
      <c r="G1237" s="19" t="str">
        <f>HYPERLINK("https://www.petaindia.com/blog/where-is-the-hippo-delhi-high-court-asks-asiad-circus/","Peta India")</f>
        <v>Peta India</v>
      </c>
      <c r="H1237" s="6" t="s">
        <v>272</v>
      </c>
      <c r="I1237" s="5" t="s">
        <v>305</v>
      </c>
      <c r="J1237" s="5" t="s">
        <v>1439</v>
      </c>
      <c r="K1237" s="5" t="s">
        <v>1680</v>
      </c>
    </row>
    <row r="1238" spans="2:11" ht="15.75" hidden="1" customHeight="1" x14ac:dyDescent="0.2">
      <c r="B1238" s="4" t="s">
        <v>1435</v>
      </c>
      <c r="C1238" s="4" t="s">
        <v>1679</v>
      </c>
      <c r="D1238" s="4" t="s">
        <v>66</v>
      </c>
      <c r="E1238" s="5" t="s">
        <v>23</v>
      </c>
      <c r="F1238" s="4" t="s">
        <v>1678</v>
      </c>
      <c r="G1238" s="19" t="str">
        <f>HYPERLINK("https://english.manoramaonline.com/districts/kasaragod/2019/10/16/police-foil-cockfight-kasaragod.html","News")</f>
        <v>News</v>
      </c>
      <c r="H1238" s="6" t="s">
        <v>3</v>
      </c>
      <c r="I1238" s="5" t="s">
        <v>305</v>
      </c>
      <c r="J1238" s="5" t="s">
        <v>1455</v>
      </c>
      <c r="K1238" s="5" t="s">
        <v>1518</v>
      </c>
    </row>
    <row r="1239" spans="2:11" ht="15.75" hidden="1" customHeight="1" x14ac:dyDescent="0.2">
      <c r="B1239" s="4" t="s">
        <v>1435</v>
      </c>
      <c r="C1239" s="4" t="s">
        <v>1677</v>
      </c>
      <c r="D1239" s="4" t="s">
        <v>1195</v>
      </c>
      <c r="E1239" s="5" t="s">
        <v>159</v>
      </c>
      <c r="F1239" s="4" t="s">
        <v>1676</v>
      </c>
      <c r="G1239" s="19" t="str">
        <f>HYPERLINK("https://www.youtube.com/watch?v=P9IzvdvNvms","Youtube")</f>
        <v>Youtube</v>
      </c>
      <c r="H1239" s="6" t="s">
        <v>3</v>
      </c>
      <c r="I1239" s="5" t="s">
        <v>305</v>
      </c>
      <c r="J1239" s="5" t="s">
        <v>1455</v>
      </c>
      <c r="K1239" s="5" t="s">
        <v>446</v>
      </c>
    </row>
    <row r="1240" spans="2:11" ht="15.75" hidden="1" customHeight="1" x14ac:dyDescent="0.2">
      <c r="B1240" s="4" t="s">
        <v>1435</v>
      </c>
      <c r="C1240" s="6" t="s">
        <v>271</v>
      </c>
      <c r="D1240" s="6" t="s">
        <v>94</v>
      </c>
      <c r="E1240" s="5" t="s">
        <v>159</v>
      </c>
      <c r="F1240" s="4" t="s">
        <v>1675</v>
      </c>
      <c r="G1240" s="19" t="str">
        <f>HYPERLINK("https://www.hindustantimes.com/india-news/2-bsp-leaders-garlanded-with-shoes-paraded-outside-party-office-in-rajasthan/story-2YXcn2wt9tJ6xzDSHdzKIM.html","News")</f>
        <v>News</v>
      </c>
      <c r="H1240" s="6" t="s">
        <v>3</v>
      </c>
      <c r="I1240" s="5" t="s">
        <v>305</v>
      </c>
      <c r="J1240" s="5" t="s">
        <v>1480</v>
      </c>
      <c r="K1240" s="5" t="s">
        <v>639</v>
      </c>
    </row>
    <row r="1241" spans="2:11" ht="15.75" hidden="1" customHeight="1" x14ac:dyDescent="0.2">
      <c r="B1241" s="4" t="s">
        <v>1435</v>
      </c>
      <c r="C1241" s="6"/>
      <c r="D1241" s="6"/>
      <c r="E1241" s="5" t="s">
        <v>159</v>
      </c>
      <c r="F1241" s="4" t="s">
        <v>1674</v>
      </c>
      <c r="G1241" s="19" t="str">
        <f>HYPERLINK("https://www.facebook.com/groups/2008085619271072/permalink/2451151908297772/","Facebook")</f>
        <v>Facebook</v>
      </c>
      <c r="H1241" s="6" t="s">
        <v>11</v>
      </c>
      <c r="I1241" s="5" t="s">
        <v>305</v>
      </c>
      <c r="J1241" s="5" t="s">
        <v>1485</v>
      </c>
      <c r="K1241" s="5" t="s">
        <v>34</v>
      </c>
    </row>
    <row r="1242" spans="2:11" ht="15.75" hidden="1" customHeight="1" x14ac:dyDescent="0.2">
      <c r="B1242" s="4" t="s">
        <v>1435</v>
      </c>
      <c r="C1242" s="4" t="s">
        <v>181</v>
      </c>
      <c r="D1242" s="4" t="s">
        <v>42</v>
      </c>
      <c r="E1242" s="5" t="s">
        <v>23</v>
      </c>
      <c r="F1242" s="4" t="s">
        <v>1673</v>
      </c>
      <c r="G1242" s="19" t="s">
        <v>3</v>
      </c>
      <c r="H1242" s="6" t="s">
        <v>3</v>
      </c>
      <c r="I1242" s="5" t="s">
        <v>305</v>
      </c>
      <c r="J1242" s="5" t="s">
        <v>1607</v>
      </c>
      <c r="K1242" s="5" t="s">
        <v>373</v>
      </c>
    </row>
    <row r="1243" spans="2:11" ht="15.75" hidden="1" customHeight="1" x14ac:dyDescent="0.2">
      <c r="B1243" s="4" t="s">
        <v>1435</v>
      </c>
      <c r="C1243" s="4" t="s">
        <v>534</v>
      </c>
      <c r="D1243" s="4" t="s">
        <v>71</v>
      </c>
      <c r="E1243" s="5" t="s">
        <v>27</v>
      </c>
      <c r="F1243" s="4" t="s">
        <v>1672</v>
      </c>
      <c r="G1243" s="19" t="str">
        <f>HYPERLINK("https://timesofindia.indiatimes.com/city/gurgaon/case-of-cruelty-to-animals-registered-after-bulls-made-to-fight-in-ambala/articleshow/71807359.cms","News")</f>
        <v>News</v>
      </c>
      <c r="H1243" s="6" t="s">
        <v>3</v>
      </c>
      <c r="I1243" s="5" t="s">
        <v>305</v>
      </c>
      <c r="J1243" s="5" t="s">
        <v>1455</v>
      </c>
      <c r="K1243" s="5" t="s">
        <v>34</v>
      </c>
    </row>
    <row r="1244" spans="2:11" ht="15.75" hidden="1" customHeight="1" x14ac:dyDescent="0.2">
      <c r="B1244" s="4" t="s">
        <v>1435</v>
      </c>
      <c r="C1244" s="4" t="s">
        <v>1671</v>
      </c>
      <c r="D1244" s="4" t="s">
        <v>88</v>
      </c>
      <c r="E1244" s="5" t="s">
        <v>159</v>
      </c>
      <c r="F1244" s="4" t="s">
        <v>1670</v>
      </c>
      <c r="G1244" s="19" t="str">
        <f>HYPERLINK("https://www.insider.com/photos-snake-charmers-in-india-defy-local-laws-2019-10","News")</f>
        <v>News</v>
      </c>
      <c r="H1244" s="6" t="s">
        <v>3</v>
      </c>
      <c r="I1244" s="5" t="s">
        <v>305</v>
      </c>
      <c r="J1244" s="5" t="s">
        <v>1439</v>
      </c>
      <c r="K1244" s="5" t="s">
        <v>509</v>
      </c>
    </row>
    <row r="1245" spans="2:11" ht="15.75" hidden="1" customHeight="1" x14ac:dyDescent="0.2">
      <c r="B1245" s="4" t="s">
        <v>1435</v>
      </c>
      <c r="C1245" s="4" t="s">
        <v>1669</v>
      </c>
      <c r="D1245" s="4" t="s">
        <v>94</v>
      </c>
      <c r="E1245" s="5" t="s">
        <v>159</v>
      </c>
      <c r="F1245" s="4" t="s">
        <v>1668</v>
      </c>
      <c r="G1245" s="19" t="s">
        <v>1493</v>
      </c>
      <c r="H1245" s="6" t="s">
        <v>3</v>
      </c>
      <c r="I1245" s="5" t="s">
        <v>305</v>
      </c>
      <c r="J1245" s="5" t="s">
        <v>1439</v>
      </c>
      <c r="K1245" s="5" t="s">
        <v>851</v>
      </c>
    </row>
    <row r="1246" spans="2:11" ht="15.75" hidden="1" customHeight="1" x14ac:dyDescent="0.2">
      <c r="B1246" s="4" t="s">
        <v>1435</v>
      </c>
      <c r="C1246" s="6"/>
      <c r="D1246" s="6"/>
      <c r="E1246" s="5" t="s">
        <v>159</v>
      </c>
      <c r="F1246" s="4" t="s">
        <v>1667</v>
      </c>
      <c r="G1246" s="19" t="str">
        <f>HYPERLINK("https://www.youtube.com/watch?v=3C-c-IuUA8Y","Youtube")</f>
        <v>Youtube</v>
      </c>
      <c r="H1246" s="6" t="s">
        <v>3</v>
      </c>
      <c r="I1246" s="5" t="s">
        <v>305</v>
      </c>
      <c r="J1246" s="5" t="s">
        <v>1439</v>
      </c>
      <c r="K1246" s="5" t="s">
        <v>955</v>
      </c>
    </row>
    <row r="1247" spans="2:11" ht="15.75" hidden="1" customHeight="1" x14ac:dyDescent="0.2">
      <c r="B1247" s="4" t="s">
        <v>1435</v>
      </c>
      <c r="C1247" s="6"/>
      <c r="D1247" s="6"/>
      <c r="E1247" s="5" t="s">
        <v>5</v>
      </c>
      <c r="F1247" s="4" t="s">
        <v>1666</v>
      </c>
      <c r="G1247" s="19" t="str">
        <f>HYPERLINK("https://youtu.be/N6ffnN57P0U","Youtube")</f>
        <v>Youtube</v>
      </c>
      <c r="H1247" s="6" t="s">
        <v>3</v>
      </c>
      <c r="I1247" s="5" t="s">
        <v>305</v>
      </c>
      <c r="J1247" s="5" t="s">
        <v>1439</v>
      </c>
      <c r="K1247" s="5" t="s">
        <v>229</v>
      </c>
    </row>
    <row r="1248" spans="2:11" ht="15.75" hidden="1" customHeight="1" x14ac:dyDescent="0.2">
      <c r="B1248" s="4" t="s">
        <v>1435</v>
      </c>
      <c r="C1248" s="4" t="s">
        <v>1665</v>
      </c>
      <c r="D1248" s="4" t="s">
        <v>42</v>
      </c>
      <c r="E1248" s="5" t="s">
        <v>159</v>
      </c>
      <c r="F1248" s="4" t="s">
        <v>1664</v>
      </c>
      <c r="G1248" s="19" t="str">
        <f>HYPERLINK("https://www.facebook.com/harpreet.decent.diva/posts/3492513670821712","Facebook")</f>
        <v>Facebook</v>
      </c>
      <c r="H1248" s="6" t="s">
        <v>11</v>
      </c>
      <c r="I1248" s="5" t="s">
        <v>305</v>
      </c>
      <c r="J1248" s="5" t="s">
        <v>1431</v>
      </c>
      <c r="K1248" s="5" t="s">
        <v>1430</v>
      </c>
    </row>
    <row r="1249" spans="2:11" ht="15.75" hidden="1" customHeight="1" x14ac:dyDescent="0.2">
      <c r="B1249" s="4" t="s">
        <v>1435</v>
      </c>
      <c r="C1249" s="6"/>
      <c r="D1249" s="6"/>
      <c r="E1249" s="5" t="s">
        <v>23</v>
      </c>
      <c r="F1249" s="4" t="s">
        <v>1663</v>
      </c>
      <c r="G1249" s="19" t="s">
        <v>1662</v>
      </c>
      <c r="H1249" s="6" t="s">
        <v>272</v>
      </c>
      <c r="I1249" s="5" t="s">
        <v>305</v>
      </c>
      <c r="J1249" s="5" t="s">
        <v>1439</v>
      </c>
      <c r="K1249" s="5" t="s">
        <v>879</v>
      </c>
    </row>
    <row r="1250" spans="2:11" ht="15.75" hidden="1" customHeight="1" x14ac:dyDescent="0.2">
      <c r="B1250" s="4" t="s">
        <v>1435</v>
      </c>
      <c r="C1250" s="4" t="s">
        <v>1661</v>
      </c>
      <c r="D1250" s="4" t="s">
        <v>71</v>
      </c>
      <c r="E1250" s="5" t="s">
        <v>159</v>
      </c>
      <c r="F1250" s="4" t="s">
        <v>1660</v>
      </c>
      <c r="G1250" s="19" t="str">
        <f>HYPERLINK("https://www.facebook.com/groups/2008085619271072/permalink/2489047061174923/","Facebook")</f>
        <v>Facebook</v>
      </c>
      <c r="H1250" s="6" t="s">
        <v>11</v>
      </c>
      <c r="I1250" s="5" t="s">
        <v>305</v>
      </c>
      <c r="J1250" s="5" t="s">
        <v>1485</v>
      </c>
      <c r="K1250" s="5" t="s">
        <v>34</v>
      </c>
    </row>
    <row r="1251" spans="2:11" ht="15.75" hidden="1" customHeight="1" x14ac:dyDescent="0.2">
      <c r="B1251" s="4" t="s">
        <v>1435</v>
      </c>
      <c r="C1251" s="4" t="s">
        <v>1659</v>
      </c>
      <c r="D1251" s="4" t="s">
        <v>18</v>
      </c>
      <c r="E1251" s="5" t="s">
        <v>23</v>
      </c>
      <c r="F1251" s="4" t="s">
        <v>1658</v>
      </c>
      <c r="G1251" s="19" t="str">
        <f>HYPERLINK("https://punemirror.indiatimes.com/videos/top-videos/watch-aged-bull-brutally-killed-using-bulldozer-in-maharashtras-indapur/videoshow/72142093.cms","News")</f>
        <v>News</v>
      </c>
      <c r="H1251" s="6" t="s">
        <v>3</v>
      </c>
      <c r="I1251" s="5" t="s">
        <v>305</v>
      </c>
      <c r="J1251" s="5" t="s">
        <v>20</v>
      </c>
      <c r="K1251" s="5" t="s">
        <v>34</v>
      </c>
    </row>
    <row r="1252" spans="2:11" ht="15.75" hidden="1" customHeight="1" x14ac:dyDescent="0.2">
      <c r="B1252" s="4" t="s">
        <v>1435</v>
      </c>
      <c r="C1252" s="4" t="s">
        <v>1657</v>
      </c>
      <c r="D1252" s="4" t="s">
        <v>150</v>
      </c>
      <c r="E1252" s="5" t="s">
        <v>159</v>
      </c>
      <c r="F1252" s="4" t="s">
        <v>1656</v>
      </c>
      <c r="G1252" s="19" t="str">
        <f>HYPERLINK("https://www.facebook.com/groups/thepound/permalink/3479558898721251/","Facebook")</f>
        <v>Facebook</v>
      </c>
      <c r="H1252" s="6" t="s">
        <v>11</v>
      </c>
      <c r="I1252" s="5" t="s">
        <v>305</v>
      </c>
      <c r="J1252" s="5" t="s">
        <v>1439</v>
      </c>
      <c r="K1252" s="5" t="s">
        <v>19</v>
      </c>
    </row>
    <row r="1253" spans="2:11" ht="15.75" hidden="1" customHeight="1" x14ac:dyDescent="0.2">
      <c r="B1253" s="4" t="s">
        <v>1435</v>
      </c>
      <c r="C1253" s="4" t="s">
        <v>321</v>
      </c>
      <c r="D1253" s="4" t="s">
        <v>42</v>
      </c>
      <c r="E1253" s="5" t="s">
        <v>159</v>
      </c>
      <c r="F1253" s="4" t="s">
        <v>1655</v>
      </c>
      <c r="G1253" s="19" t="str">
        <f>HYPERLINK("https://timesofindia.indiatimes.com/city/agra/langurs-to-be-deployed-to-shoo-away-monkeys-during-president-kovinds-mathura-visit/articleshow/72212499.cms","News")</f>
        <v>News</v>
      </c>
      <c r="H1253" s="6" t="s">
        <v>3</v>
      </c>
      <c r="I1253" s="5" t="s">
        <v>305</v>
      </c>
      <c r="J1253" s="5" t="s">
        <v>1439</v>
      </c>
      <c r="K1253" s="5" t="s">
        <v>955</v>
      </c>
    </row>
    <row r="1254" spans="2:11" ht="15.75" hidden="1" customHeight="1" x14ac:dyDescent="0.2">
      <c r="B1254" s="4" t="s">
        <v>1435</v>
      </c>
      <c r="C1254" s="4" t="s">
        <v>1654</v>
      </c>
      <c r="D1254" s="4" t="s">
        <v>18</v>
      </c>
      <c r="E1254" s="5" t="s">
        <v>27</v>
      </c>
      <c r="F1254" s="4" t="s">
        <v>1653</v>
      </c>
      <c r="G1254" s="19" t="str">
        <f>HYPERLINK("https://www.hindustantimes.com/cities/police-on-regular-patrol-run-into-illegal-bullock-cart-race-in-khed-organisers-booked-for-animal-cruelty/story-5WismAWEUMlAe1oCJTd6jJ.html","News")</f>
        <v>News</v>
      </c>
      <c r="H1254" s="6" t="s">
        <v>3</v>
      </c>
      <c r="I1254" s="5" t="s">
        <v>305</v>
      </c>
      <c r="J1254" s="5" t="s">
        <v>1455</v>
      </c>
      <c r="K1254" s="5" t="s">
        <v>34</v>
      </c>
    </row>
    <row r="1255" spans="2:11" ht="15.75" hidden="1" customHeight="1" x14ac:dyDescent="0.2">
      <c r="B1255" s="4" t="s">
        <v>1435</v>
      </c>
      <c r="C1255" s="4" t="s">
        <v>1652</v>
      </c>
      <c r="D1255" s="4" t="s">
        <v>154</v>
      </c>
      <c r="E1255" s="5" t="s">
        <v>5</v>
      </c>
      <c r="F1255" s="4" t="s">
        <v>1651</v>
      </c>
      <c r="G1255" s="19" t="str">
        <f>HYPERLINK("https://www.petaindia.com/blog/victory-following-tip-peta-india-stops-an-illegal-bull-race-in-ludhiana/","Peta India")</f>
        <v>Peta India</v>
      </c>
      <c r="H1255" s="6" t="s">
        <v>272</v>
      </c>
      <c r="I1255" s="5" t="s">
        <v>305</v>
      </c>
      <c r="J1255" s="5" t="s">
        <v>1455</v>
      </c>
      <c r="K1255" s="5" t="s">
        <v>34</v>
      </c>
    </row>
    <row r="1256" spans="2:11" ht="15.75" hidden="1" customHeight="1" x14ac:dyDescent="0.2">
      <c r="B1256" s="4" t="s">
        <v>1435</v>
      </c>
      <c r="C1256" s="4" t="s">
        <v>1650</v>
      </c>
      <c r="D1256" s="4" t="s">
        <v>18</v>
      </c>
      <c r="E1256" s="5" t="s">
        <v>55</v>
      </c>
      <c r="F1256" s="4" t="s">
        <v>1649</v>
      </c>
      <c r="G1256" s="19" t="str">
        <f>HYPERLINK("https://indianexpress.com/article/cities/pune/alandi-3-booked-for-organising-bullock-cart-race-6135289/","News")</f>
        <v>News</v>
      </c>
      <c r="H1256" s="6" t="s">
        <v>3</v>
      </c>
      <c r="I1256" s="5" t="s">
        <v>305</v>
      </c>
      <c r="J1256" s="5" t="s">
        <v>1455</v>
      </c>
      <c r="K1256" s="5" t="s">
        <v>34</v>
      </c>
    </row>
    <row r="1257" spans="2:11" ht="15.75" hidden="1" customHeight="1" x14ac:dyDescent="0.2">
      <c r="B1257" s="4" t="s">
        <v>1435</v>
      </c>
      <c r="C1257" s="4" t="s">
        <v>684</v>
      </c>
      <c r="D1257" s="4" t="s">
        <v>13</v>
      </c>
      <c r="E1257" s="4" t="s">
        <v>55</v>
      </c>
      <c r="F1257" s="4" t="s">
        <v>1648</v>
      </c>
      <c r="G1257" s="20" t="str">
        <f>HYPERLINK("https://gulfnews.com/world/asia/india/cows-killed-over-land-dispute-1.68118102","News")</f>
        <v>News</v>
      </c>
      <c r="H1257" s="6" t="s">
        <v>3</v>
      </c>
      <c r="I1257" s="5" t="s">
        <v>1647</v>
      </c>
      <c r="J1257" s="5" t="s">
        <v>20</v>
      </c>
      <c r="K1257" s="5" t="s">
        <v>57</v>
      </c>
    </row>
    <row r="1258" spans="2:11" ht="15.75" hidden="1" customHeight="1" x14ac:dyDescent="0.2">
      <c r="B1258" s="4" t="s">
        <v>1435</v>
      </c>
      <c r="C1258" s="18" t="s">
        <v>313</v>
      </c>
      <c r="D1258" s="4" t="s">
        <v>42</v>
      </c>
      <c r="E1258" s="5" t="s">
        <v>5</v>
      </c>
      <c r="F1258" s="4" t="s">
        <v>1646</v>
      </c>
      <c r="G1258" s="19" t="s">
        <v>3</v>
      </c>
      <c r="H1258" s="6" t="s">
        <v>3</v>
      </c>
      <c r="I1258" s="5" t="s">
        <v>305</v>
      </c>
      <c r="J1258" s="5" t="s">
        <v>1439</v>
      </c>
      <c r="K1258" s="5" t="s">
        <v>879</v>
      </c>
    </row>
    <row r="1259" spans="2:11" ht="15.75" hidden="1" customHeight="1" x14ac:dyDescent="0.2">
      <c r="B1259" s="4" t="s">
        <v>1435</v>
      </c>
      <c r="C1259" s="4" t="s">
        <v>228</v>
      </c>
      <c r="D1259" s="4" t="s">
        <v>36</v>
      </c>
      <c r="E1259" s="5" t="s">
        <v>159</v>
      </c>
      <c r="F1259" s="4" t="s">
        <v>1645</v>
      </c>
      <c r="G1259" s="19" t="s">
        <v>273</v>
      </c>
      <c r="H1259" s="6" t="s">
        <v>272</v>
      </c>
      <c r="I1259" s="5" t="s">
        <v>305</v>
      </c>
      <c r="J1259" s="5" t="s">
        <v>1455</v>
      </c>
      <c r="K1259" s="5" t="s">
        <v>204</v>
      </c>
    </row>
    <row r="1260" spans="2:11" ht="15.75" hidden="1" customHeight="1" x14ac:dyDescent="0.2">
      <c r="B1260" s="4" t="s">
        <v>1435</v>
      </c>
      <c r="C1260" s="4" t="s">
        <v>201</v>
      </c>
      <c r="D1260" s="4" t="s">
        <v>154</v>
      </c>
      <c r="E1260" s="5" t="s">
        <v>23</v>
      </c>
      <c r="F1260" s="4" t="s">
        <v>1644</v>
      </c>
      <c r="G1260" s="19" t="str">
        <f>HYPERLINK("https://www.petaindia.com/blog/following-peta-india-pressure-order-issued-to-stop-illegal-animal-races/","PETA India")</f>
        <v>PETA India</v>
      </c>
      <c r="H1260" s="6" t="s">
        <v>272</v>
      </c>
      <c r="I1260" s="5" t="s">
        <v>305</v>
      </c>
      <c r="J1260" s="5" t="s">
        <v>1455</v>
      </c>
      <c r="K1260" s="5" t="s">
        <v>0</v>
      </c>
    </row>
    <row r="1261" spans="2:11" ht="15.75" hidden="1" customHeight="1" x14ac:dyDescent="0.2">
      <c r="B1261" s="4" t="s">
        <v>1435</v>
      </c>
      <c r="C1261" s="4" t="s">
        <v>104</v>
      </c>
      <c r="D1261" s="4" t="s">
        <v>18</v>
      </c>
      <c r="E1261" s="5" t="s">
        <v>55</v>
      </c>
      <c r="F1261" s="4" t="s">
        <v>1643</v>
      </c>
      <c r="G1261" s="19" t="str">
        <f>HYPERLINK("https://www.petaindia.com/blog/peta-india-wins-interim-custody-of-nine-horses-used-for-illegal-rides-in-mumbai/","PETA India")</f>
        <v>PETA India</v>
      </c>
      <c r="H1261" s="6" t="s">
        <v>272</v>
      </c>
      <c r="I1261" s="5" t="s">
        <v>305</v>
      </c>
      <c r="J1261" s="5" t="s">
        <v>1431</v>
      </c>
      <c r="K1261" s="5" t="s">
        <v>1430</v>
      </c>
    </row>
    <row r="1262" spans="2:11" ht="15.75" hidden="1" customHeight="1" x14ac:dyDescent="0.2">
      <c r="B1262" s="4" t="s">
        <v>1435</v>
      </c>
      <c r="C1262" s="4" t="s">
        <v>1642</v>
      </c>
      <c r="D1262" s="4" t="s">
        <v>66</v>
      </c>
      <c r="E1262" s="5" t="s">
        <v>5</v>
      </c>
      <c r="F1262" s="4" t="s">
        <v>1641</v>
      </c>
      <c r="G1262" s="19" t="str">
        <f>HYPERLINK("https://indianexpress.com/article/express-sunday-eye/thechikottukavu-ramachandran-kerala-thrissur-pooram-elephant-5719357/","News")</f>
        <v>News</v>
      </c>
      <c r="H1262" s="6" t="s">
        <v>3</v>
      </c>
      <c r="I1262" s="5" t="s">
        <v>305</v>
      </c>
      <c r="J1262" s="5" t="s">
        <v>1439</v>
      </c>
      <c r="K1262" s="5" t="s">
        <v>64</v>
      </c>
    </row>
    <row r="1263" spans="2:11" ht="15.75" hidden="1" customHeight="1" x14ac:dyDescent="0.2">
      <c r="B1263" s="4" t="s">
        <v>1435</v>
      </c>
      <c r="C1263" s="4" t="s">
        <v>228</v>
      </c>
      <c r="D1263" s="4" t="s">
        <v>36</v>
      </c>
      <c r="E1263" s="5" t="s">
        <v>159</v>
      </c>
      <c r="F1263" s="4" t="s">
        <v>1640</v>
      </c>
      <c r="G1263" s="19" t="s">
        <v>944</v>
      </c>
      <c r="H1263" s="6" t="s">
        <v>272</v>
      </c>
      <c r="I1263" s="5" t="s">
        <v>305</v>
      </c>
      <c r="J1263" s="5" t="s">
        <v>92</v>
      </c>
      <c r="K1263" s="5" t="s">
        <v>57</v>
      </c>
    </row>
    <row r="1264" spans="2:11" ht="15.75" hidden="1" customHeight="1" x14ac:dyDescent="0.2">
      <c r="B1264" s="4" t="s">
        <v>1435</v>
      </c>
      <c r="C1264" s="18" t="s">
        <v>95</v>
      </c>
      <c r="D1264" s="18" t="s">
        <v>94</v>
      </c>
      <c r="E1264" s="5" t="s">
        <v>17</v>
      </c>
      <c r="F1264" s="4" t="s">
        <v>1639</v>
      </c>
      <c r="G1264" s="19" t="str">
        <f>HYPERLINK("https://www.youtube.com/watch?v=ZC3iCiyTbME","Youtube (Animal Aid Unlimited)")</f>
        <v>Youtube (Animal Aid Unlimited)</v>
      </c>
      <c r="H1264" s="6" t="s">
        <v>272</v>
      </c>
      <c r="I1264" s="5" t="s">
        <v>305</v>
      </c>
      <c r="J1264" s="5" t="s">
        <v>1485</v>
      </c>
      <c r="K1264" s="5" t="s">
        <v>639</v>
      </c>
    </row>
    <row r="1265" spans="2:11" ht="15.75" hidden="1" customHeight="1" x14ac:dyDescent="0.2">
      <c r="B1265" s="4" t="s">
        <v>1435</v>
      </c>
      <c r="C1265" s="6"/>
      <c r="D1265" s="6"/>
      <c r="E1265" s="5" t="s">
        <v>5</v>
      </c>
      <c r="F1265" s="4" t="s">
        <v>1638</v>
      </c>
      <c r="G1265" s="19" t="str">
        <f>HYPERLINK("https://www.youtube.com/watch?v=NUrbuaqYjac","Youtube")</f>
        <v>Youtube</v>
      </c>
      <c r="H1265" s="6" t="s">
        <v>3</v>
      </c>
      <c r="I1265" s="5" t="s">
        <v>305</v>
      </c>
      <c r="J1265" s="5" t="s">
        <v>1485</v>
      </c>
      <c r="K1265" s="5" t="s">
        <v>1430</v>
      </c>
    </row>
    <row r="1266" spans="2:11" ht="15.75" hidden="1" customHeight="1" x14ac:dyDescent="0.2">
      <c r="B1266" s="4" t="s">
        <v>1435</v>
      </c>
      <c r="C1266" s="6" t="s">
        <v>95</v>
      </c>
      <c r="D1266" s="6" t="s">
        <v>94</v>
      </c>
      <c r="E1266" s="5" t="s">
        <v>17</v>
      </c>
      <c r="F1266" s="4" t="s">
        <v>1637</v>
      </c>
      <c r="G1266" s="19" t="s">
        <v>1467</v>
      </c>
      <c r="H1266" s="6" t="s">
        <v>11</v>
      </c>
      <c r="I1266" s="5" t="s">
        <v>305</v>
      </c>
      <c r="J1266" s="5" t="s">
        <v>1485</v>
      </c>
      <c r="K1266" s="5" t="s">
        <v>639</v>
      </c>
    </row>
    <row r="1267" spans="2:11" ht="15.75" hidden="1" customHeight="1" x14ac:dyDescent="0.2">
      <c r="B1267" s="4" t="s">
        <v>1435</v>
      </c>
      <c r="C1267" s="6"/>
      <c r="D1267" s="6"/>
      <c r="E1267" s="5" t="s">
        <v>159</v>
      </c>
      <c r="F1267" s="4" t="s">
        <v>1636</v>
      </c>
      <c r="G1267" s="19" t="str">
        <f>HYPERLINK("https://www.animalrahat.com/latest-news/why-is-this-bullock-crying/","Animal Rahat")</f>
        <v>Animal Rahat</v>
      </c>
      <c r="H1267" s="6" t="s">
        <v>1620</v>
      </c>
      <c r="I1267" s="5" t="s">
        <v>305</v>
      </c>
      <c r="J1267" s="5" t="s">
        <v>1431</v>
      </c>
      <c r="K1267" s="5" t="s">
        <v>34</v>
      </c>
    </row>
    <row r="1268" spans="2:11" ht="15.75" hidden="1" customHeight="1" x14ac:dyDescent="0.2">
      <c r="B1268" s="4" t="s">
        <v>1435</v>
      </c>
      <c r="C1268" s="4" t="s">
        <v>1635</v>
      </c>
      <c r="D1268" s="4" t="s">
        <v>154</v>
      </c>
      <c r="E1268" s="5" t="s">
        <v>23</v>
      </c>
      <c r="F1268" s="4" t="s">
        <v>1634</v>
      </c>
      <c r="G1268" s="19" t="str">
        <f>HYPERLINK("https://timesofindia.indiatimes.com/city/mumbai/bhidta-punjab-dogs-forced-into-brutal-fighting-rescued/articleshow/72484567.cms","News")</f>
        <v>News</v>
      </c>
      <c r="H1268" s="6" t="s">
        <v>3</v>
      </c>
      <c r="I1268" s="5" t="s">
        <v>305</v>
      </c>
      <c r="J1268" s="5" t="s">
        <v>1455</v>
      </c>
      <c r="K1268" s="5" t="s">
        <v>0</v>
      </c>
    </row>
    <row r="1269" spans="2:11" ht="15.75" hidden="1" customHeight="1" x14ac:dyDescent="0.2">
      <c r="B1269" s="4" t="s">
        <v>1435</v>
      </c>
      <c r="C1269" s="6" t="s">
        <v>271</v>
      </c>
      <c r="D1269" s="6" t="s">
        <v>94</v>
      </c>
      <c r="E1269" s="5" t="s">
        <v>159</v>
      </c>
      <c r="F1269" s="4" t="s">
        <v>1633</v>
      </c>
      <c r="G1269" s="19" t="s">
        <v>11</v>
      </c>
      <c r="H1269" s="6" t="s">
        <v>11</v>
      </c>
      <c r="I1269" s="5" t="s">
        <v>305</v>
      </c>
      <c r="J1269" s="5" t="s">
        <v>1485</v>
      </c>
      <c r="K1269" s="5" t="s">
        <v>639</v>
      </c>
    </row>
    <row r="1270" spans="2:11" ht="15.75" hidden="1" customHeight="1" x14ac:dyDescent="0.2">
      <c r="B1270" s="4" t="s">
        <v>1435</v>
      </c>
      <c r="C1270" s="6"/>
      <c r="D1270" s="6"/>
      <c r="E1270" s="5" t="s">
        <v>159</v>
      </c>
      <c r="F1270" s="4" t="s">
        <v>1632</v>
      </c>
      <c r="G1270" s="19" t="str">
        <f>HYPERLINK("https://www.animalrahat.com/latest-news/from-sick-and-suffering-to-savoring-snacks-at-the-sanctuary/","Animal Rahat")</f>
        <v>Animal Rahat</v>
      </c>
      <c r="H1270" s="6" t="s">
        <v>1620</v>
      </c>
      <c r="I1270" s="5" t="s">
        <v>305</v>
      </c>
      <c r="J1270" s="5" t="s">
        <v>1431</v>
      </c>
      <c r="K1270" s="5" t="s">
        <v>34</v>
      </c>
    </row>
    <row r="1271" spans="2:11" ht="15.75" hidden="1" customHeight="1" x14ac:dyDescent="0.2">
      <c r="B1271" s="4" t="s">
        <v>1435</v>
      </c>
      <c r="C1271" s="4" t="s">
        <v>181</v>
      </c>
      <c r="D1271" s="4" t="s">
        <v>42</v>
      </c>
      <c r="E1271" s="5" t="s">
        <v>23</v>
      </c>
      <c r="F1271" s="4" t="s">
        <v>1631</v>
      </c>
      <c r="G1271" s="19" t="str">
        <f>HYPERLINK("https://timesofindia.indiatimes.com/city/ghaziabad/four-langurs-rescued-from-a-gunny-bag-in-train-toilet/articleshow/72555705.cms","News")</f>
        <v>News</v>
      </c>
      <c r="H1271" s="6" t="s">
        <v>3</v>
      </c>
      <c r="I1271" s="5" t="s">
        <v>305</v>
      </c>
      <c r="J1271" s="5" t="s">
        <v>1441</v>
      </c>
      <c r="K1271" s="5" t="s">
        <v>955</v>
      </c>
    </row>
    <row r="1272" spans="2:11" ht="15.75" hidden="1" customHeight="1" x14ac:dyDescent="0.2">
      <c r="B1272" s="4" t="s">
        <v>1435</v>
      </c>
      <c r="C1272" s="6" t="s">
        <v>130</v>
      </c>
      <c r="D1272" s="6" t="s">
        <v>77</v>
      </c>
      <c r="E1272" s="5" t="s">
        <v>5</v>
      </c>
      <c r="F1272" s="4" t="s">
        <v>1630</v>
      </c>
      <c r="G1272" s="14" t="s">
        <v>11</v>
      </c>
      <c r="H1272" s="6" t="s">
        <v>11</v>
      </c>
      <c r="I1272" s="5" t="s">
        <v>305</v>
      </c>
      <c r="J1272" s="5" t="s">
        <v>1629</v>
      </c>
      <c r="K1272" s="5" t="s">
        <v>1430</v>
      </c>
    </row>
    <row r="1273" spans="2:11" ht="15.75" hidden="1" customHeight="1" x14ac:dyDescent="0.2">
      <c r="B1273" s="4" t="s">
        <v>1435</v>
      </c>
      <c r="C1273" s="4" t="s">
        <v>1628</v>
      </c>
      <c r="D1273" s="4" t="s">
        <v>150</v>
      </c>
      <c r="E1273" s="5" t="s">
        <v>159</v>
      </c>
      <c r="F1273" s="4" t="s">
        <v>1627</v>
      </c>
      <c r="G1273" s="19" t="str">
        <f>HYPERLINK("https://www.facebook.com/asswinproject/posts/3090664320963996","Facebook (The Asswin Project)")</f>
        <v>Facebook (The Asswin Project)</v>
      </c>
      <c r="H1273" s="6" t="s">
        <v>272</v>
      </c>
      <c r="I1273" s="5" t="s">
        <v>305</v>
      </c>
      <c r="J1273" s="5" t="s">
        <v>1485</v>
      </c>
      <c r="K1273" s="5" t="s">
        <v>1430</v>
      </c>
    </row>
    <row r="1274" spans="2:11" ht="15.75" hidden="1" customHeight="1" x14ac:dyDescent="0.2">
      <c r="B1274" s="4" t="s">
        <v>1435</v>
      </c>
      <c r="C1274" s="4" t="s">
        <v>1626</v>
      </c>
      <c r="D1274" s="4" t="s">
        <v>18</v>
      </c>
      <c r="E1274" s="5" t="s">
        <v>159</v>
      </c>
      <c r="F1274" s="4" t="s">
        <v>1625</v>
      </c>
      <c r="G1274" s="19" t="s">
        <v>1493</v>
      </c>
      <c r="H1274" s="6" t="s">
        <v>3</v>
      </c>
      <c r="I1274" s="5" t="s">
        <v>305</v>
      </c>
      <c r="J1274" s="5" t="s">
        <v>1455</v>
      </c>
      <c r="K1274" s="5" t="s">
        <v>1430</v>
      </c>
    </row>
    <row r="1275" spans="2:11" ht="15.75" hidden="1" customHeight="1" x14ac:dyDescent="0.2">
      <c r="B1275" s="4" t="s">
        <v>1435</v>
      </c>
      <c r="C1275" s="4" t="s">
        <v>1624</v>
      </c>
      <c r="D1275" s="4" t="s">
        <v>150</v>
      </c>
      <c r="E1275" s="5" t="s">
        <v>159</v>
      </c>
      <c r="F1275" s="4" t="s">
        <v>1623</v>
      </c>
      <c r="G1275" s="19" t="str">
        <f>HYPERLINK("https://www.facebook.com/asswinproject/posts/3090669167630178","Facebook (The Asswin Project)")</f>
        <v>Facebook (The Asswin Project)</v>
      </c>
      <c r="H1275" s="6" t="s">
        <v>272</v>
      </c>
      <c r="I1275" s="5" t="s">
        <v>305</v>
      </c>
      <c r="J1275" s="5" t="s">
        <v>1485</v>
      </c>
      <c r="K1275" s="5" t="s">
        <v>639</v>
      </c>
    </row>
    <row r="1276" spans="2:11" ht="15.75" hidden="1" customHeight="1" x14ac:dyDescent="0.2">
      <c r="B1276" s="4" t="s">
        <v>1435</v>
      </c>
      <c r="C1276" s="6" t="s">
        <v>271</v>
      </c>
      <c r="D1276" s="6" t="s">
        <v>94</v>
      </c>
      <c r="E1276" s="5" t="s">
        <v>159</v>
      </c>
      <c r="F1276" s="4" t="s">
        <v>1622</v>
      </c>
      <c r="G1276" s="19" t="s">
        <v>11</v>
      </c>
      <c r="H1276" s="6" t="s">
        <v>11</v>
      </c>
      <c r="I1276" s="5" t="s">
        <v>305</v>
      </c>
      <c r="J1276" s="5" t="s">
        <v>1485</v>
      </c>
      <c r="K1276" s="5" t="s">
        <v>108</v>
      </c>
    </row>
    <row r="1277" spans="2:11" ht="15.75" hidden="1" customHeight="1" x14ac:dyDescent="0.2">
      <c r="B1277" s="4" t="s">
        <v>1435</v>
      </c>
      <c r="C1277" s="6"/>
      <c r="D1277" s="6"/>
      <c r="E1277" s="5" t="s">
        <v>159</v>
      </c>
      <c r="F1277" s="4" t="s">
        <v>1621</v>
      </c>
      <c r="G1277" s="19" t="str">
        <f>HYPERLINK("https://www.animalrahat.com/latest-news/rescuing-lucky-lavender/","Animal Rahat")</f>
        <v>Animal Rahat</v>
      </c>
      <c r="H1277" s="6" t="s">
        <v>1620</v>
      </c>
      <c r="I1277" s="5" t="s">
        <v>305</v>
      </c>
      <c r="J1277" s="5" t="s">
        <v>1431</v>
      </c>
      <c r="K1277" s="5" t="s">
        <v>639</v>
      </c>
    </row>
    <row r="1278" spans="2:11" ht="15.75" hidden="1" customHeight="1" x14ac:dyDescent="0.2">
      <c r="B1278" s="4" t="s">
        <v>1435</v>
      </c>
      <c r="C1278" s="6"/>
      <c r="D1278" s="4" t="s">
        <v>94</v>
      </c>
      <c r="E1278" s="5" t="s">
        <v>159</v>
      </c>
      <c r="F1278" s="4" t="s">
        <v>1619</v>
      </c>
      <c r="G1278" s="19" t="str">
        <f>HYPERLINK("https://www.youtube.com/watch?v=xgg3zqGwxO4","Youtube ")</f>
        <v xml:space="preserve">Youtube </v>
      </c>
      <c r="H1278" s="6" t="s">
        <v>3</v>
      </c>
      <c r="I1278" s="5" t="s">
        <v>305</v>
      </c>
      <c r="J1278" s="5" t="s">
        <v>1439</v>
      </c>
      <c r="K1278" s="5" t="s">
        <v>19</v>
      </c>
    </row>
    <row r="1279" spans="2:11" ht="15.75" hidden="1" customHeight="1" x14ac:dyDescent="0.2">
      <c r="B1279" s="4" t="s">
        <v>1435</v>
      </c>
      <c r="C1279" s="6" t="s">
        <v>95</v>
      </c>
      <c r="D1279" s="6" t="s">
        <v>94</v>
      </c>
      <c r="E1279" s="5" t="s">
        <v>159</v>
      </c>
      <c r="F1279" s="4" t="s">
        <v>1618</v>
      </c>
      <c r="G1279" s="19" t="s">
        <v>272</v>
      </c>
      <c r="H1279" s="6">
        <v>19</v>
      </c>
      <c r="I1279" s="5" t="s">
        <v>305</v>
      </c>
      <c r="J1279" s="5" t="s">
        <v>15</v>
      </c>
      <c r="K1279" s="5" t="s">
        <v>639</v>
      </c>
    </row>
    <row r="1280" spans="2:11" ht="15.75" hidden="1" customHeight="1" x14ac:dyDescent="0.2">
      <c r="B1280" s="4" t="s">
        <v>1435</v>
      </c>
      <c r="C1280" s="4" t="s">
        <v>1434</v>
      </c>
      <c r="D1280" s="4" t="s">
        <v>94</v>
      </c>
      <c r="E1280" s="5" t="s">
        <v>159</v>
      </c>
      <c r="F1280" s="4" t="s">
        <v>1617</v>
      </c>
      <c r="G1280" s="19" t="str">
        <f>HYPERLINK("https://www.facebook.com/madhu.chanda.507/posts/3203781916315368","Facebook")</f>
        <v>Facebook</v>
      </c>
      <c r="H1280" s="6" t="s">
        <v>11</v>
      </c>
      <c r="I1280" s="5" t="s">
        <v>305</v>
      </c>
      <c r="J1280" s="5" t="s">
        <v>92</v>
      </c>
      <c r="K1280" s="5" t="s">
        <v>34</v>
      </c>
    </row>
    <row r="1281" spans="2:11" ht="15.75" hidden="1" customHeight="1" x14ac:dyDescent="0.2">
      <c r="B1281" s="4" t="s">
        <v>1435</v>
      </c>
      <c r="C1281" s="4" t="s">
        <v>111</v>
      </c>
      <c r="D1281" s="4" t="s">
        <v>24</v>
      </c>
      <c r="E1281" s="5" t="s">
        <v>23</v>
      </c>
      <c r="F1281" s="4" t="s">
        <v>1616</v>
      </c>
      <c r="G1281" s="19" t="str">
        <f>HYPERLINK("https://timesofindia.indiatimes.com/city/mumbai/boy-dies-after-being-hit-by-horse-cart-at-theme-restaurant-in-hyderabad/articleshow/72970485.cms","News")</f>
        <v>News</v>
      </c>
      <c r="H1281" s="6" t="s">
        <v>3</v>
      </c>
      <c r="I1281" s="5" t="s">
        <v>305</v>
      </c>
      <c r="J1281" s="5" t="s">
        <v>1431</v>
      </c>
      <c r="K1281" s="5" t="s">
        <v>1430</v>
      </c>
    </row>
    <row r="1282" spans="2:11" ht="15.75" hidden="1" customHeight="1" x14ac:dyDescent="0.2">
      <c r="B1282" s="4" t="s">
        <v>1435</v>
      </c>
      <c r="C1282" s="6" t="s">
        <v>137</v>
      </c>
      <c r="D1282" s="4" t="s">
        <v>71</v>
      </c>
      <c r="E1282" s="5" t="s">
        <v>17</v>
      </c>
      <c r="F1282" s="4" t="s">
        <v>1615</v>
      </c>
      <c r="G1282" s="19" t="str">
        <f>HYPERLINK("https://www.facebook.com/asswinproject/posts/3090665264297235","Facebook (The Asswin Project)")</f>
        <v>Facebook (The Asswin Project)</v>
      </c>
      <c r="H1282" s="6" t="s">
        <v>272</v>
      </c>
      <c r="I1282" s="5" t="s">
        <v>305</v>
      </c>
      <c r="J1282" s="5" t="s">
        <v>1485</v>
      </c>
      <c r="K1282" s="5" t="s">
        <v>1430</v>
      </c>
    </row>
    <row r="1283" spans="2:11" ht="15.75" hidden="1" customHeight="1" x14ac:dyDescent="0.2">
      <c r="B1283" s="4" t="s">
        <v>1435</v>
      </c>
      <c r="C1283" s="6"/>
      <c r="D1283" s="4" t="s">
        <v>236</v>
      </c>
      <c r="E1283" s="5" t="s">
        <v>17</v>
      </c>
      <c r="F1283" s="4" t="s">
        <v>1614</v>
      </c>
      <c r="G1283" s="19" t="str">
        <f>HYPERLINK("https://www.facebook.com/groups/317699935646466/permalink/600233684059755/","Facebook ")</f>
        <v xml:space="preserve">Facebook </v>
      </c>
      <c r="H1283" s="6" t="s">
        <v>11</v>
      </c>
      <c r="I1283" s="5" t="s">
        <v>305</v>
      </c>
      <c r="J1283" s="5" t="s">
        <v>1455</v>
      </c>
      <c r="K1283" s="5" t="s">
        <v>34</v>
      </c>
    </row>
    <row r="1284" spans="2:11" ht="15.75" hidden="1" customHeight="1" x14ac:dyDescent="0.2">
      <c r="B1284" s="4" t="s">
        <v>1435</v>
      </c>
      <c r="C1284" s="4" t="s">
        <v>1613</v>
      </c>
      <c r="D1284" s="4" t="s">
        <v>66</v>
      </c>
      <c r="E1284" s="5" t="s">
        <v>5</v>
      </c>
      <c r="F1284" s="4" t="s">
        <v>1612</v>
      </c>
      <c r="G1284" s="19" t="str">
        <f>HYPERLINK("https://www.thenewsminute.com/article/kerala-jumbo-neelakantan-dies-after-years-neglect-abuse-caretakers-115037","News")</f>
        <v>News</v>
      </c>
      <c r="H1284" s="6" t="s">
        <v>3</v>
      </c>
      <c r="I1284" s="5" t="s">
        <v>305</v>
      </c>
      <c r="J1284" s="5" t="s">
        <v>1439</v>
      </c>
      <c r="K1284" s="5" t="s">
        <v>64</v>
      </c>
    </row>
    <row r="1285" spans="2:11" ht="15.75" hidden="1" customHeight="1" x14ac:dyDescent="0.2">
      <c r="B1285" s="4" t="s">
        <v>1435</v>
      </c>
      <c r="C1285" s="4" t="s">
        <v>1611</v>
      </c>
      <c r="D1285" s="4" t="s">
        <v>36</v>
      </c>
      <c r="E1285" s="5" t="s">
        <v>159</v>
      </c>
      <c r="F1285" s="4" t="s">
        <v>1610</v>
      </c>
      <c r="G1285" s="19" t="s">
        <v>3</v>
      </c>
      <c r="H1285" s="6" t="s">
        <v>3</v>
      </c>
      <c r="I1285" s="5" t="s">
        <v>305</v>
      </c>
      <c r="J1285" s="5" t="s">
        <v>1455</v>
      </c>
      <c r="K1285" s="5" t="s">
        <v>34</v>
      </c>
    </row>
    <row r="1286" spans="2:11" ht="15.75" hidden="1" customHeight="1" x14ac:dyDescent="0.2">
      <c r="B1286" s="4" t="s">
        <v>1435</v>
      </c>
      <c r="C1286" s="4" t="s">
        <v>1609</v>
      </c>
      <c r="D1286" s="4" t="s">
        <v>28</v>
      </c>
      <c r="E1286" s="5" t="s">
        <v>159</v>
      </c>
      <c r="F1286" s="4" t="s">
        <v>1608</v>
      </c>
      <c r="G1286" s="19" t="s">
        <v>3</v>
      </c>
      <c r="H1286" s="6" t="s">
        <v>3</v>
      </c>
      <c r="I1286" s="5" t="s">
        <v>305</v>
      </c>
      <c r="J1286" s="5" t="s">
        <v>1607</v>
      </c>
      <c r="K1286" s="5" t="s">
        <v>912</v>
      </c>
    </row>
    <row r="1287" spans="2:11" ht="15.75" hidden="1" customHeight="1" x14ac:dyDescent="0.2">
      <c r="B1287" s="4" t="s">
        <v>1435</v>
      </c>
      <c r="C1287" s="4" t="s">
        <v>1606</v>
      </c>
      <c r="D1287" s="4" t="s">
        <v>267</v>
      </c>
      <c r="E1287" s="5" t="s">
        <v>5</v>
      </c>
      <c r="F1287" s="4" t="s">
        <v>1605</v>
      </c>
      <c r="G1287" s="19" t="str">
        <f>HYPERLINK("https://www.thehindu.com/news/national/andhra-pradesh/fowl-play/article30546425.ece","News")</f>
        <v>News</v>
      </c>
      <c r="H1287" s="6" t="s">
        <v>3</v>
      </c>
      <c r="I1287" s="5" t="s">
        <v>305</v>
      </c>
      <c r="J1287" s="5" t="s">
        <v>1455</v>
      </c>
      <c r="K1287" s="5" t="s">
        <v>1518</v>
      </c>
    </row>
    <row r="1288" spans="2:11" ht="15.75" hidden="1" customHeight="1" x14ac:dyDescent="0.2">
      <c r="B1288" s="4" t="s">
        <v>1435</v>
      </c>
      <c r="C1288" s="4" t="s">
        <v>104</v>
      </c>
      <c r="D1288" s="4" t="s">
        <v>18</v>
      </c>
      <c r="E1288" s="5" t="s">
        <v>5</v>
      </c>
      <c r="F1288" s="4" t="s">
        <v>1604</v>
      </c>
      <c r="G1288" s="19" t="str">
        <f>HYPERLINK("https://timesofindia.indiatimes.com/city/mumbai/mumbai-59-animals-and-birds-died-at-zoo-in-2018-2019/articleshow/73219975.cms","News")</f>
        <v>News</v>
      </c>
      <c r="H1288" s="6" t="s">
        <v>3</v>
      </c>
      <c r="I1288" s="5" t="s">
        <v>305</v>
      </c>
      <c r="J1288" s="5" t="s">
        <v>1441</v>
      </c>
      <c r="K1288" s="5" t="s">
        <v>204</v>
      </c>
    </row>
    <row r="1289" spans="2:11" ht="15.75" hidden="1" customHeight="1" x14ac:dyDescent="0.2">
      <c r="B1289" s="4" t="s">
        <v>1435</v>
      </c>
      <c r="C1289" s="6" t="s">
        <v>150</v>
      </c>
      <c r="D1289" s="6" t="s">
        <v>150</v>
      </c>
      <c r="E1289" s="5" t="s">
        <v>5</v>
      </c>
      <c r="F1289" s="4" t="s">
        <v>1603</v>
      </c>
      <c r="G1289" s="19" t="s">
        <v>1467</v>
      </c>
      <c r="H1289" s="6" t="s">
        <v>11</v>
      </c>
      <c r="I1289" s="5" t="s">
        <v>305</v>
      </c>
      <c r="J1289" s="5" t="s">
        <v>1455</v>
      </c>
      <c r="K1289" s="5" t="s">
        <v>0</v>
      </c>
    </row>
    <row r="1290" spans="2:11" ht="15.75" hidden="1" customHeight="1" x14ac:dyDescent="0.2">
      <c r="B1290" s="4" t="s">
        <v>1435</v>
      </c>
      <c r="C1290" s="4" t="s">
        <v>1602</v>
      </c>
      <c r="D1290" s="4" t="s">
        <v>24</v>
      </c>
      <c r="E1290" s="5" t="s">
        <v>5</v>
      </c>
      <c r="F1290" s="4" t="s">
        <v>1601</v>
      </c>
      <c r="G1290" s="19" t="str">
        <f>HYPERLINK("https://www.newindianexpress.com/states/telangana/2020/jan/14/cockfight-ban-has-scant-impact-in-telangana-2089342.html","News")</f>
        <v>News</v>
      </c>
      <c r="H1290" s="6" t="s">
        <v>3</v>
      </c>
      <c r="I1290" s="5" t="s">
        <v>305</v>
      </c>
      <c r="J1290" s="5" t="s">
        <v>1455</v>
      </c>
      <c r="K1290" s="5" t="s">
        <v>1518</v>
      </c>
    </row>
    <row r="1291" spans="2:11" ht="15.75" hidden="1" customHeight="1" x14ac:dyDescent="0.2">
      <c r="B1291" s="4" t="s">
        <v>1435</v>
      </c>
      <c r="C1291" s="4" t="s">
        <v>1600</v>
      </c>
      <c r="D1291" s="4" t="s">
        <v>1599</v>
      </c>
      <c r="E1291" s="5" t="s">
        <v>5</v>
      </c>
      <c r="F1291" s="4" t="s">
        <v>1598</v>
      </c>
      <c r="G1291" s="19" t="str">
        <f>HYPERLINK("https://timesofindia.indiatimes.com/city/hyderabad/despite-sc-ban-kodi-pandalu-carry-on-unabated/articleshow/73251225.cms","News")</f>
        <v>News</v>
      </c>
      <c r="H1291" s="6" t="s">
        <v>3</v>
      </c>
      <c r="I1291" s="5" t="s">
        <v>305</v>
      </c>
      <c r="J1291" s="5" t="s">
        <v>1455</v>
      </c>
      <c r="K1291" s="5" t="s">
        <v>1518</v>
      </c>
    </row>
    <row r="1292" spans="2:11" ht="15.75" hidden="1" customHeight="1" x14ac:dyDescent="0.2">
      <c r="B1292" s="4" t="s">
        <v>1435</v>
      </c>
      <c r="C1292" s="6" t="s">
        <v>1597</v>
      </c>
      <c r="D1292" s="4" t="s">
        <v>77</v>
      </c>
      <c r="E1292" s="5" t="s">
        <v>5</v>
      </c>
      <c r="F1292" s="4" t="s">
        <v>1596</v>
      </c>
      <c r="G1292" s="19" t="str">
        <f>HYPERLINK("https://www.news18.com/news/india/pongal-annual-bull-taming-event-jallikattu-kicks-off-amid-fanfare-in-tamil-nadu-over-35-injured-2459207.html","News")</f>
        <v>News</v>
      </c>
      <c r="H1292" s="6" t="s">
        <v>3</v>
      </c>
      <c r="I1292" s="5" t="s">
        <v>305</v>
      </c>
      <c r="J1292" s="5" t="s">
        <v>1455</v>
      </c>
      <c r="K1292" s="5" t="s">
        <v>34</v>
      </c>
    </row>
    <row r="1293" spans="2:11" ht="15.75" hidden="1" customHeight="1" x14ac:dyDescent="0.2">
      <c r="B1293" s="4" t="s">
        <v>1435</v>
      </c>
      <c r="C1293" s="4" t="s">
        <v>1595</v>
      </c>
      <c r="D1293" s="4" t="s">
        <v>77</v>
      </c>
      <c r="E1293" s="5" t="s">
        <v>5</v>
      </c>
      <c r="F1293" s="4" t="s">
        <v>1594</v>
      </c>
      <c r="G1293" s="19" t="str">
        <f>HYPERLINK("https://www.thehindu.com/news/cities/Madurai/all-set-for-manjuvirattu-at-siravayal/article30578303.ece","News")</f>
        <v>News</v>
      </c>
      <c r="H1293" s="6" t="s">
        <v>3</v>
      </c>
      <c r="I1293" s="5" t="s">
        <v>305</v>
      </c>
      <c r="J1293" s="5" t="s">
        <v>1455</v>
      </c>
      <c r="K1293" s="5" t="s">
        <v>34</v>
      </c>
    </row>
    <row r="1294" spans="2:11" ht="15.75" hidden="1" customHeight="1" x14ac:dyDescent="0.2">
      <c r="B1294" s="4" t="s">
        <v>1435</v>
      </c>
      <c r="C1294" s="6"/>
      <c r="D1294" s="4" t="s">
        <v>236</v>
      </c>
      <c r="E1294" s="5" t="s">
        <v>23</v>
      </c>
      <c r="F1294" s="4" t="s">
        <v>1593</v>
      </c>
      <c r="G1294" s="19" t="s">
        <v>1467</v>
      </c>
      <c r="H1294" s="6" t="s">
        <v>11</v>
      </c>
      <c r="I1294" s="5" t="s">
        <v>305</v>
      </c>
      <c r="J1294" s="5" t="s">
        <v>1431</v>
      </c>
      <c r="K1294" s="5" t="s">
        <v>639</v>
      </c>
    </row>
    <row r="1295" spans="2:11" ht="15.75" hidden="1" customHeight="1" x14ac:dyDescent="0.2">
      <c r="B1295" s="4" t="s">
        <v>1435</v>
      </c>
      <c r="C1295" s="4" t="s">
        <v>150</v>
      </c>
      <c r="D1295" s="4" t="s">
        <v>150</v>
      </c>
      <c r="E1295" s="5" t="s">
        <v>5</v>
      </c>
      <c r="F1295" s="4" t="s">
        <v>1592</v>
      </c>
      <c r="G1295" s="19" t="str">
        <f>HYPERLINK("https://www.petaindia.com/blog/peta-india-files-petition-in-delhi-high-court-seeking-enforcement-of-tonga-ban/","PETA India")</f>
        <v>PETA India</v>
      </c>
      <c r="H1295" s="6" t="s">
        <v>272</v>
      </c>
      <c r="I1295" s="5" t="s">
        <v>305</v>
      </c>
      <c r="J1295" s="5" t="s">
        <v>1431</v>
      </c>
      <c r="K1295" s="5" t="s">
        <v>1430</v>
      </c>
    </row>
    <row r="1296" spans="2:11" ht="15.75" hidden="1" customHeight="1" x14ac:dyDescent="0.2">
      <c r="B1296" s="4" t="s">
        <v>1435</v>
      </c>
      <c r="C1296" s="4" t="s">
        <v>1591</v>
      </c>
      <c r="D1296" s="4" t="s">
        <v>47</v>
      </c>
      <c r="E1296" s="5" t="s">
        <v>5</v>
      </c>
      <c r="F1296" s="4" t="s">
        <v>1590</v>
      </c>
      <c r="G1296" s="19" t="str">
        <f>HYPERLINK("https://timesofindia.indiatimes.com/city/guwahati/bull-fights-mark-magh-bihu-in-assam-despite-ban-by-supreme-court/articleshow/73317567.cms","News")</f>
        <v>News</v>
      </c>
      <c r="H1296" s="6" t="s">
        <v>3</v>
      </c>
      <c r="I1296" s="5" t="s">
        <v>305</v>
      </c>
      <c r="J1296" s="5" t="s">
        <v>1455</v>
      </c>
      <c r="K1296" s="5" t="s">
        <v>34</v>
      </c>
    </row>
    <row r="1297" spans="2:11" ht="15.75" hidden="1" customHeight="1" x14ac:dyDescent="0.2">
      <c r="B1297" s="4" t="s">
        <v>1435</v>
      </c>
      <c r="C1297" s="4" t="s">
        <v>1589</v>
      </c>
      <c r="D1297" s="4" t="s">
        <v>267</v>
      </c>
      <c r="E1297" s="5" t="s">
        <v>17</v>
      </c>
      <c r="F1297" s="4" t="s">
        <v>1588</v>
      </c>
      <c r="G1297" s="19" t="str">
        <f>HYPERLINK("https://www.thenewsminute.com/article/andhra-man-dies-cockfighting-mishap-knife-attached-bird-pierces-him-116254","News")</f>
        <v>News</v>
      </c>
      <c r="H1297" s="6" t="s">
        <v>3</v>
      </c>
      <c r="I1297" s="5" t="s">
        <v>305</v>
      </c>
      <c r="J1297" s="5" t="s">
        <v>1455</v>
      </c>
      <c r="K1297" s="5" t="s">
        <v>1518</v>
      </c>
    </row>
    <row r="1298" spans="2:11" ht="15.75" hidden="1" customHeight="1" x14ac:dyDescent="0.2">
      <c r="B1298" s="4" t="s">
        <v>1435</v>
      </c>
      <c r="C1298" s="4" t="s">
        <v>1587</v>
      </c>
      <c r="D1298" s="4" t="s">
        <v>267</v>
      </c>
      <c r="E1298" s="5" t="s">
        <v>5</v>
      </c>
      <c r="F1298" s="4" t="s">
        <v>1586</v>
      </c>
      <c r="G1298" s="19" t="str">
        <f>HYPERLINK("https://www.facebook.com/hellovizag.in/posts/1502279289935364","Facebook")</f>
        <v>Facebook</v>
      </c>
      <c r="H1298" s="6" t="s">
        <v>11</v>
      </c>
      <c r="I1298" s="5" t="s">
        <v>305</v>
      </c>
      <c r="J1298" s="5" t="s">
        <v>1455</v>
      </c>
      <c r="K1298" s="5" t="s">
        <v>34</v>
      </c>
    </row>
    <row r="1299" spans="2:11" ht="15.75" hidden="1" customHeight="1" x14ac:dyDescent="0.2">
      <c r="B1299" s="4" t="s">
        <v>1435</v>
      </c>
      <c r="C1299" s="4" t="s">
        <v>1585</v>
      </c>
      <c r="D1299" s="4" t="s">
        <v>77</v>
      </c>
      <c r="E1299" s="5" t="s">
        <v>5</v>
      </c>
      <c r="F1299" s="4" t="s">
        <v>1584</v>
      </c>
      <c r="G1299" s="19" t="str">
        <f>HYPERLINK("https://www.thehindu.com/news/national/tamil-nadu/world-renowned-alanganallur-jallikattu-begins/article30583304.ece","News")</f>
        <v>News</v>
      </c>
      <c r="H1299" s="6" t="s">
        <v>3</v>
      </c>
      <c r="I1299" s="5" t="s">
        <v>305</v>
      </c>
      <c r="J1299" s="5" t="s">
        <v>1455</v>
      </c>
      <c r="K1299" s="5" t="s">
        <v>34</v>
      </c>
    </row>
    <row r="1300" spans="2:11" ht="15.75" hidden="1" customHeight="1" x14ac:dyDescent="0.2">
      <c r="B1300" s="4" t="s">
        <v>1435</v>
      </c>
      <c r="C1300" s="4" t="s">
        <v>1583</v>
      </c>
      <c r="D1300" s="4" t="s">
        <v>77</v>
      </c>
      <c r="E1300" s="5" t="s">
        <v>159</v>
      </c>
      <c r="F1300" s="4" t="s">
        <v>1582</v>
      </c>
      <c r="G1300" s="19" t="str">
        <f>HYPERLINK("https://www.newindianexpress.com/states/tamil-nadu/2020/jan/18/bull-owner-gored-to-death-in-avarangadu-jallikattu-2091221.html","News")</f>
        <v>News</v>
      </c>
      <c r="H1300" s="6" t="s">
        <v>3</v>
      </c>
      <c r="I1300" s="5" t="s">
        <v>305</v>
      </c>
      <c r="J1300" s="5" t="s">
        <v>1455</v>
      </c>
      <c r="K1300" s="5" t="s">
        <v>34</v>
      </c>
    </row>
    <row r="1301" spans="2:11" ht="15.75" hidden="1" customHeight="1" x14ac:dyDescent="0.2">
      <c r="B1301" s="4" t="s">
        <v>1435</v>
      </c>
      <c r="C1301" s="4" t="s">
        <v>130</v>
      </c>
      <c r="D1301" s="4" t="s">
        <v>77</v>
      </c>
      <c r="E1301" s="5" t="s">
        <v>159</v>
      </c>
      <c r="F1301" s="4" t="s">
        <v>1581</v>
      </c>
      <c r="G1301" s="19" t="s">
        <v>3</v>
      </c>
      <c r="H1301" s="6" t="s">
        <v>3</v>
      </c>
      <c r="I1301" s="5" t="s">
        <v>305</v>
      </c>
      <c r="J1301" s="5" t="s">
        <v>1455</v>
      </c>
      <c r="K1301" s="5" t="s">
        <v>34</v>
      </c>
    </row>
    <row r="1302" spans="2:11" ht="15.75" hidden="1" customHeight="1" x14ac:dyDescent="0.2">
      <c r="B1302" s="4" t="s">
        <v>1435</v>
      </c>
      <c r="C1302" s="4" t="s">
        <v>1580</v>
      </c>
      <c r="D1302" s="4" t="s">
        <v>77</v>
      </c>
      <c r="E1302" s="5" t="s">
        <v>159</v>
      </c>
      <c r="F1302" s="4" t="s">
        <v>1579</v>
      </c>
      <c r="G1302" s="19" t="str">
        <f>HYPERLINK("https://timesofindia.indiatimes.com/city/trichy/man-gored-to-death-in-vadamalappur-jallikattu/articleshow/73364165.cms","News")</f>
        <v>News</v>
      </c>
      <c r="H1302" s="6" t="s">
        <v>3</v>
      </c>
      <c r="I1302" s="5" t="s">
        <v>305</v>
      </c>
      <c r="J1302" s="5" t="s">
        <v>1455</v>
      </c>
      <c r="K1302" s="5" t="s">
        <v>34</v>
      </c>
    </row>
    <row r="1303" spans="2:11" ht="15.75" hidden="1" customHeight="1" x14ac:dyDescent="0.2">
      <c r="B1303" s="4" t="s">
        <v>1435</v>
      </c>
      <c r="C1303" s="6" t="s">
        <v>150</v>
      </c>
      <c r="D1303" s="6" t="s">
        <v>150</v>
      </c>
      <c r="E1303" s="5" t="s">
        <v>159</v>
      </c>
      <c r="F1303" s="4" t="s">
        <v>1578</v>
      </c>
      <c r="G1303" s="19" t="str">
        <f>HYPERLINK("https://www.facebook.com/groups/683166908425471/permalink/3446855082056626/","Facebook")</f>
        <v>Facebook</v>
      </c>
      <c r="H1303" s="6" t="s">
        <v>11</v>
      </c>
      <c r="I1303" s="5" t="s">
        <v>305</v>
      </c>
      <c r="J1303" s="5" t="s">
        <v>1441</v>
      </c>
      <c r="K1303" s="5" t="s">
        <v>509</v>
      </c>
    </row>
    <row r="1304" spans="2:11" ht="15.75" hidden="1" customHeight="1" x14ac:dyDescent="0.2">
      <c r="B1304" s="4" t="s">
        <v>1435</v>
      </c>
      <c r="C1304" s="4" t="s">
        <v>1577</v>
      </c>
      <c r="D1304" s="4" t="s">
        <v>77</v>
      </c>
      <c r="E1304" s="5" t="s">
        <v>159</v>
      </c>
      <c r="F1304" s="4" t="s">
        <v>1576</v>
      </c>
      <c r="G1304" s="19" t="str">
        <f>HYPERLINK("https://timesofindia.indiatimes.com/city/trichy/man-gored-to-death-in-vadamalappur-jallikattu/articleshow/73364165.cms","News")</f>
        <v>News</v>
      </c>
      <c r="H1304" s="6" t="s">
        <v>3</v>
      </c>
      <c r="I1304" s="5" t="s">
        <v>305</v>
      </c>
      <c r="J1304" s="5" t="s">
        <v>1455</v>
      </c>
      <c r="K1304" s="5" t="s">
        <v>34</v>
      </c>
    </row>
    <row r="1305" spans="2:11" ht="15.75" hidden="1" customHeight="1" x14ac:dyDescent="0.2">
      <c r="B1305" s="4" t="s">
        <v>1435</v>
      </c>
      <c r="C1305" s="4" t="s">
        <v>1575</v>
      </c>
      <c r="D1305" s="4" t="s">
        <v>77</v>
      </c>
      <c r="E1305" s="5" t="s">
        <v>159</v>
      </c>
      <c r="F1305" s="4" t="s">
        <v>1574</v>
      </c>
      <c r="G1305" s="19" t="str">
        <f>HYPERLINK("https://www.thehindu.com/news/national/tamil-nadu/one-dead-over-70-hurt-in-kandupatti-manjuvirattu/article30602696.ece","News")</f>
        <v>News</v>
      </c>
      <c r="H1305" s="6" t="s">
        <v>3</v>
      </c>
      <c r="I1305" s="5" t="s">
        <v>305</v>
      </c>
      <c r="J1305" s="5" t="s">
        <v>1455</v>
      </c>
      <c r="K1305" s="5" t="s">
        <v>34</v>
      </c>
    </row>
    <row r="1306" spans="2:11" ht="15.75" hidden="1" customHeight="1" x14ac:dyDescent="0.2">
      <c r="B1306" s="4" t="s">
        <v>1435</v>
      </c>
      <c r="C1306" s="4" t="s">
        <v>1573</v>
      </c>
      <c r="D1306" s="4" t="s">
        <v>77</v>
      </c>
      <c r="E1306" s="5" t="s">
        <v>159</v>
      </c>
      <c r="F1306" s="4" t="s">
        <v>1572</v>
      </c>
      <c r="G1306" s="19" t="str">
        <f>HYPERLINK("https://www.timesnownews.com/mirror-now/in-focus/article/tamil-nadu-bull-released-during-jallikattu-dies-after-being-hit-by-train/542456","News")</f>
        <v>News</v>
      </c>
      <c r="H1306" s="6" t="s">
        <v>3</v>
      </c>
      <c r="I1306" s="5" t="s">
        <v>305</v>
      </c>
      <c r="J1306" s="5" t="s">
        <v>1455</v>
      </c>
      <c r="K1306" s="5" t="s">
        <v>34</v>
      </c>
    </row>
    <row r="1307" spans="2:11" ht="15.75" hidden="1" customHeight="1" x14ac:dyDescent="0.2">
      <c r="B1307" s="4" t="s">
        <v>1435</v>
      </c>
      <c r="C1307" s="4" t="s">
        <v>104</v>
      </c>
      <c r="D1307" s="4" t="s">
        <v>18</v>
      </c>
      <c r="E1307" s="5" t="s">
        <v>17</v>
      </c>
      <c r="F1307" s="4" t="s">
        <v>1571</v>
      </c>
      <c r="G1307" s="19" t="str">
        <f>HYPERLINK("https://www.facebook.com/simn19/posts/2682214361828429","Facebook")</f>
        <v>Facebook</v>
      </c>
      <c r="H1307" s="6" t="s">
        <v>11</v>
      </c>
      <c r="I1307" s="5" t="s">
        <v>305</v>
      </c>
      <c r="J1307" s="5" t="s">
        <v>1441</v>
      </c>
      <c r="K1307" s="5" t="s">
        <v>1570</v>
      </c>
    </row>
    <row r="1308" spans="2:11" ht="15.75" hidden="1" customHeight="1" x14ac:dyDescent="0.2">
      <c r="B1308" s="4" t="s">
        <v>1435</v>
      </c>
      <c r="C1308" s="6" t="s">
        <v>69</v>
      </c>
      <c r="D1308" s="6" t="s">
        <v>42</v>
      </c>
      <c r="E1308" s="5" t="s">
        <v>23</v>
      </c>
      <c r="F1308" s="4" t="s">
        <v>1569</v>
      </c>
      <c r="G1308" s="19" t="s">
        <v>11</v>
      </c>
      <c r="H1308" s="6" t="s">
        <v>11</v>
      </c>
      <c r="I1308" s="5" t="s">
        <v>305</v>
      </c>
      <c r="J1308" s="5" t="s">
        <v>1439</v>
      </c>
      <c r="K1308" s="5" t="s">
        <v>955</v>
      </c>
    </row>
    <row r="1309" spans="2:11" ht="15.75" hidden="1" customHeight="1" x14ac:dyDescent="0.2">
      <c r="B1309" s="4" t="s">
        <v>1435</v>
      </c>
      <c r="C1309" s="4" t="s">
        <v>1568</v>
      </c>
      <c r="D1309" s="4" t="s">
        <v>77</v>
      </c>
      <c r="E1309" s="5" t="s">
        <v>159</v>
      </c>
      <c r="F1309" s="4" t="s">
        <v>1567</v>
      </c>
      <c r="G1309" s="19" t="str">
        <f>HYPERLINK("https://www.thehindu.com/news/national/tamil-nadu/bull-falls-into-farm-well-dies/article30629412.ece?fbclid=IwAR3wq8t6YYG_9cn6ySAYjrOHIJJu22M_Qg3OHPmSerqZm9_iuLFdKSgyQm0","News")</f>
        <v>News</v>
      </c>
      <c r="H1309" s="6" t="s">
        <v>3</v>
      </c>
      <c r="I1309" s="5" t="s">
        <v>305</v>
      </c>
      <c r="J1309" s="5" t="s">
        <v>1455</v>
      </c>
      <c r="K1309" s="5" t="s">
        <v>34</v>
      </c>
    </row>
    <row r="1310" spans="2:11" ht="15.75" hidden="1" customHeight="1" x14ac:dyDescent="0.2">
      <c r="B1310" s="4" t="s">
        <v>1435</v>
      </c>
      <c r="C1310" s="4" t="s">
        <v>1566</v>
      </c>
      <c r="D1310" s="4" t="s">
        <v>267</v>
      </c>
      <c r="E1310" s="5" t="s">
        <v>17</v>
      </c>
      <c r="F1310" s="4" t="s">
        <v>1565</v>
      </c>
      <c r="G1310" s="19" t="str">
        <f>HYPERLINK("https://www.newindianexpress.com/states/andhra-pradesh/2020/jan/23/ongole-bull-race-off-to-a-grand-start-in-guntur-2093392.html","News")</f>
        <v>News</v>
      </c>
      <c r="H1310" s="6" t="s">
        <v>3</v>
      </c>
      <c r="I1310" s="5" t="s">
        <v>305</v>
      </c>
      <c r="J1310" s="5" t="s">
        <v>1455</v>
      </c>
      <c r="K1310" s="5" t="s">
        <v>34</v>
      </c>
    </row>
    <row r="1311" spans="2:11" ht="15.75" hidden="1" customHeight="1" x14ac:dyDescent="0.2">
      <c r="B1311" s="4" t="s">
        <v>1435</v>
      </c>
      <c r="C1311" s="4" t="s">
        <v>130</v>
      </c>
      <c r="D1311" s="4" t="s">
        <v>77</v>
      </c>
      <c r="E1311" s="5" t="s">
        <v>159</v>
      </c>
      <c r="F1311" s="4" t="s">
        <v>1564</v>
      </c>
      <c r="G1311" s="19" t="str">
        <f>HYPERLINK("https://www.facebook.com/groups/thepound/permalink/3696366887040450/","Facebook")</f>
        <v>Facebook</v>
      </c>
      <c r="H1311" s="6" t="s">
        <v>11</v>
      </c>
      <c r="I1311" s="5" t="s">
        <v>305</v>
      </c>
      <c r="J1311" s="5" t="s">
        <v>1439</v>
      </c>
      <c r="K1311" s="5" t="s">
        <v>19</v>
      </c>
    </row>
    <row r="1312" spans="2:11" ht="15.75" hidden="1" customHeight="1" x14ac:dyDescent="0.2">
      <c r="B1312" s="4" t="s">
        <v>1435</v>
      </c>
      <c r="C1312" s="6" t="s">
        <v>1563</v>
      </c>
      <c r="D1312" s="6" t="s">
        <v>18</v>
      </c>
      <c r="E1312" s="5" t="s">
        <v>159</v>
      </c>
      <c r="F1312" s="4" t="s">
        <v>1562</v>
      </c>
      <c r="G1312" s="19" t="str">
        <f>HYPERLINK("https://m.facebook.com/story.php?story_fbid=2788510737907674&amp;id=100002463263104","Facebook")</f>
        <v>Facebook</v>
      </c>
      <c r="H1312" s="6" t="s">
        <v>11</v>
      </c>
      <c r="I1312" s="5" t="s">
        <v>305</v>
      </c>
      <c r="J1312" s="5" t="s">
        <v>1431</v>
      </c>
      <c r="K1312" s="5" t="s">
        <v>1430</v>
      </c>
    </row>
    <row r="1313" spans="2:11" ht="15.75" hidden="1" customHeight="1" x14ac:dyDescent="0.2">
      <c r="B1313" s="4" t="s">
        <v>1435</v>
      </c>
      <c r="C1313" s="4" t="s">
        <v>1561</v>
      </c>
      <c r="D1313" s="4" t="s">
        <v>18</v>
      </c>
      <c r="E1313" s="5" t="s">
        <v>159</v>
      </c>
      <c r="F1313" s="4" t="s">
        <v>1560</v>
      </c>
      <c r="G1313" s="19" t="str">
        <f>HYPERLINK("https://www.facebook.com/sari.pvs/posts/2552221621570933","Facebook")</f>
        <v>Facebook</v>
      </c>
      <c r="H1313" s="6" t="s">
        <v>11</v>
      </c>
      <c r="I1313" s="5" t="s">
        <v>305</v>
      </c>
      <c r="J1313" s="5" t="s">
        <v>1431</v>
      </c>
      <c r="K1313" s="5" t="s">
        <v>840</v>
      </c>
    </row>
    <row r="1314" spans="2:11" ht="15.75" hidden="1" customHeight="1" x14ac:dyDescent="0.2">
      <c r="B1314" s="4" t="s">
        <v>1435</v>
      </c>
      <c r="C1314" s="4" t="s">
        <v>1559</v>
      </c>
      <c r="D1314" s="4" t="s">
        <v>18</v>
      </c>
      <c r="E1314" s="5" t="s">
        <v>159</v>
      </c>
      <c r="F1314" s="4" t="s">
        <v>1558</v>
      </c>
      <c r="G1314" s="19" t="str">
        <f>HYPERLINK("https://timesofindia.indiatimes.com/city/pune/saddle-up-for-three-days-of-equestrian-adventures/articleshow/73634164.cms","News")</f>
        <v>News</v>
      </c>
      <c r="H1314" s="6" t="s">
        <v>3</v>
      </c>
      <c r="I1314" s="5" t="s">
        <v>305</v>
      </c>
      <c r="J1314" s="5" t="s">
        <v>1455</v>
      </c>
      <c r="K1314" s="5" t="s">
        <v>1430</v>
      </c>
    </row>
    <row r="1315" spans="2:11" ht="15.75" hidden="1" customHeight="1" x14ac:dyDescent="0.2">
      <c r="B1315" s="4" t="s">
        <v>1435</v>
      </c>
      <c r="C1315" s="4" t="s">
        <v>1557</v>
      </c>
      <c r="D1315" s="4" t="s">
        <v>267</v>
      </c>
      <c r="E1315" s="5" t="s">
        <v>159</v>
      </c>
      <c r="F1315" s="4" t="s">
        <v>1556</v>
      </c>
      <c r="G1315" s="19" t="str">
        <f>HYPERLINK("https://timesofindia.indiatimes.com/city/vijayawada/2-injured-in-kuppam-bull-racing-event/articleshow/73708971.cms","News")</f>
        <v>News</v>
      </c>
      <c r="H1315" s="6" t="s">
        <v>3</v>
      </c>
      <c r="I1315" s="5" t="s">
        <v>305</v>
      </c>
      <c r="J1315" s="5" t="s">
        <v>1455</v>
      </c>
      <c r="K1315" s="5" t="s">
        <v>34</v>
      </c>
    </row>
    <row r="1316" spans="2:11" ht="15.75" hidden="1" customHeight="1" x14ac:dyDescent="0.2">
      <c r="B1316" s="4" t="s">
        <v>1435</v>
      </c>
      <c r="C1316" s="6"/>
      <c r="D1316" s="6"/>
      <c r="E1316" s="5" t="s">
        <v>159</v>
      </c>
      <c r="F1316" s="4" t="s">
        <v>1555</v>
      </c>
      <c r="G1316" s="19" t="str">
        <f>HYPERLINK("https://indianexpress.com/article/lifestyle/life-style/pc-sorcar-junior-magician-animal-rights-pets-6225576/","News")</f>
        <v>News</v>
      </c>
      <c r="H1316" s="6" t="s">
        <v>3</v>
      </c>
      <c r="I1316" s="5" t="s">
        <v>305</v>
      </c>
      <c r="J1316" s="5" t="s">
        <v>1492</v>
      </c>
      <c r="K1316" s="5" t="s">
        <v>204</v>
      </c>
    </row>
    <row r="1317" spans="2:11" ht="15.75" hidden="1" customHeight="1" x14ac:dyDescent="0.2">
      <c r="B1317" s="4" t="s">
        <v>1435</v>
      </c>
      <c r="C1317" s="6"/>
      <c r="D1317" s="6" t="s">
        <v>154</v>
      </c>
      <c r="E1317" s="5" t="s">
        <v>5</v>
      </c>
      <c r="F1317" s="6" t="s">
        <v>1554</v>
      </c>
      <c r="G1317" s="19" t="str">
        <f>HYPERLINK("https://www.facebook.com/aarteeseth/posts/10159421640011110","Facebook")</f>
        <v>Facebook</v>
      </c>
      <c r="H1317" s="6" t="s">
        <v>11</v>
      </c>
      <c r="I1317" s="5" t="s">
        <v>305</v>
      </c>
      <c r="J1317" s="5" t="s">
        <v>1455</v>
      </c>
      <c r="K1317" s="5" t="s">
        <v>0</v>
      </c>
    </row>
    <row r="1318" spans="2:11" ht="15.75" hidden="1" customHeight="1" x14ac:dyDescent="0.2">
      <c r="B1318" s="4" t="s">
        <v>1435</v>
      </c>
      <c r="C1318" s="4" t="s">
        <v>1553</v>
      </c>
      <c r="D1318" s="4" t="s">
        <v>77</v>
      </c>
      <c r="E1318" s="5" t="s">
        <v>5</v>
      </c>
      <c r="F1318" s="4" t="s">
        <v>1552</v>
      </c>
      <c r="G1318" s="19" t="str">
        <f>HYPERLINK("https://timesofindia.indiatimes.com/city/puducherry/police-resort-to-lathicharge-to-control-crowd-at-bull-race/articleshow/73745589.cms","News")</f>
        <v>News</v>
      </c>
      <c r="H1318" s="6" t="s">
        <v>3</v>
      </c>
      <c r="I1318" s="5" t="s">
        <v>305</v>
      </c>
      <c r="J1318" s="5" t="s">
        <v>1455</v>
      </c>
      <c r="K1318" s="5" t="s">
        <v>34</v>
      </c>
    </row>
    <row r="1319" spans="2:11" ht="15.75" hidden="1" customHeight="1" x14ac:dyDescent="0.2">
      <c r="B1319" s="4" t="s">
        <v>1435</v>
      </c>
      <c r="C1319" s="4" t="s">
        <v>1551</v>
      </c>
      <c r="D1319" s="4" t="s">
        <v>236</v>
      </c>
      <c r="E1319" s="5" t="s">
        <v>27</v>
      </c>
      <c r="F1319" s="4" t="s">
        <v>1550</v>
      </c>
      <c r="G1319" s="19" t="str">
        <f>HYPERLINK("https://www.heraldgoa.in/Goa/Two-booked-for-holding-bullfight/156348","News")</f>
        <v>News</v>
      </c>
      <c r="H1319" s="6" t="s">
        <v>3</v>
      </c>
      <c r="I1319" s="5" t="s">
        <v>305</v>
      </c>
      <c r="J1319" s="5" t="s">
        <v>1455</v>
      </c>
      <c r="K1319" s="5" t="s">
        <v>34</v>
      </c>
    </row>
    <row r="1320" spans="2:11" ht="15.75" hidden="1" customHeight="1" x14ac:dyDescent="0.2">
      <c r="B1320" s="4" t="s">
        <v>1435</v>
      </c>
      <c r="C1320" s="6"/>
      <c r="D1320" s="4" t="s">
        <v>71</v>
      </c>
      <c r="E1320" s="5" t="s">
        <v>159</v>
      </c>
      <c r="F1320" s="4" t="s">
        <v>1549</v>
      </c>
      <c r="G1320" s="19" t="str">
        <f>HYPERLINK("https://www.youtube.com/watch?v=16YL0pV-A2s","Youtube")</f>
        <v>Youtube</v>
      </c>
      <c r="H1320" s="6" t="s">
        <v>3</v>
      </c>
      <c r="I1320" s="5" t="s">
        <v>305</v>
      </c>
      <c r="J1320" s="5" t="s">
        <v>1439</v>
      </c>
      <c r="K1320" s="5" t="s">
        <v>955</v>
      </c>
    </row>
    <row r="1321" spans="2:11" ht="15.75" hidden="1" customHeight="1" x14ac:dyDescent="0.2">
      <c r="B1321" s="4" t="s">
        <v>1435</v>
      </c>
      <c r="C1321" s="4" t="s">
        <v>502</v>
      </c>
      <c r="D1321" s="4" t="s">
        <v>36</v>
      </c>
      <c r="E1321" s="5" t="s">
        <v>159</v>
      </c>
      <c r="F1321" s="4" t="s">
        <v>1548</v>
      </c>
      <c r="G1321" s="19" t="str">
        <f>HYPERLINK("https://timesofindia.indiatimes.com/city/mangaluru/when-kudla-celebrated-the-spirit-of-kambala/articleshow/73766933.cms","News")</f>
        <v>News</v>
      </c>
      <c r="H1321" s="6" t="s">
        <v>3</v>
      </c>
      <c r="I1321" s="5" t="s">
        <v>305</v>
      </c>
      <c r="J1321" s="5" t="s">
        <v>1455</v>
      </c>
      <c r="K1321" s="5" t="s">
        <v>34</v>
      </c>
    </row>
    <row r="1322" spans="2:11" ht="15.75" hidden="1" customHeight="1" x14ac:dyDescent="0.2">
      <c r="B1322" s="4" t="s">
        <v>1435</v>
      </c>
      <c r="C1322" s="4" t="s">
        <v>1547</v>
      </c>
      <c r="D1322" s="4" t="s">
        <v>18</v>
      </c>
      <c r="E1322" s="5" t="s">
        <v>5</v>
      </c>
      <c r="F1322" s="4" t="s">
        <v>1546</v>
      </c>
      <c r="G1322" s="19" t="str">
        <f>HYPERLINK("https://timesofindia.indiatimes.com/city/pune/horses-made-to-run-into-sea-to-take-tourists-to-old-fort-at-alibag-beach-activists-raise-complaint/articleshow/73073075.cms?UTM_Source=Google_Newsstand&amp;UTM_Campaign=RSS_Feed&amp;UTM_Medium=Referral","News")</f>
        <v>News</v>
      </c>
      <c r="H1322" s="6" t="s">
        <v>3</v>
      </c>
      <c r="I1322" s="5" t="s">
        <v>305</v>
      </c>
      <c r="J1322" s="5" t="s">
        <v>1431</v>
      </c>
      <c r="K1322" s="5" t="s">
        <v>1430</v>
      </c>
    </row>
    <row r="1323" spans="2:11" ht="15.75" hidden="1" customHeight="1" x14ac:dyDescent="0.2">
      <c r="B1323" s="4" t="s">
        <v>1435</v>
      </c>
      <c r="C1323" s="6"/>
      <c r="D1323" s="4" t="s">
        <v>59</v>
      </c>
      <c r="E1323" s="5" t="s">
        <v>5</v>
      </c>
      <c r="F1323" s="4" t="s">
        <v>1545</v>
      </c>
      <c r="G1323" s="19" t="s">
        <v>1445</v>
      </c>
      <c r="H1323" s="6" t="s">
        <v>272</v>
      </c>
      <c r="I1323" s="5" t="s">
        <v>305</v>
      </c>
      <c r="J1323" s="5" t="s">
        <v>1431</v>
      </c>
      <c r="K1323" s="5" t="s">
        <v>1430</v>
      </c>
    </row>
    <row r="1324" spans="2:11" ht="15.75" hidden="1" customHeight="1" x14ac:dyDescent="0.2">
      <c r="B1324" s="4" t="s">
        <v>1435</v>
      </c>
      <c r="C1324" s="4" t="s">
        <v>527</v>
      </c>
      <c r="D1324" s="4" t="s">
        <v>18</v>
      </c>
      <c r="E1324" s="5" t="s">
        <v>23</v>
      </c>
      <c r="F1324" s="4" t="s">
        <v>1544</v>
      </c>
      <c r="G1324" s="19" t="str">
        <f>HYPERLINK("https://timesofindia.indiatimes.com/city/thane/thane-man-trapped-while-trying-to-sell-monkeys-to-jugglers/articleshow/73061709.cms","News")</f>
        <v>News</v>
      </c>
      <c r="H1324" s="6" t="s">
        <v>3</v>
      </c>
      <c r="I1324" s="5" t="s">
        <v>305</v>
      </c>
      <c r="J1324" s="5" t="s">
        <v>1441</v>
      </c>
      <c r="K1324" s="5" t="s">
        <v>229</v>
      </c>
    </row>
    <row r="1325" spans="2:11" ht="15.75" hidden="1" customHeight="1" x14ac:dyDescent="0.2">
      <c r="B1325" s="4" t="s">
        <v>1435</v>
      </c>
      <c r="C1325" s="6"/>
      <c r="D1325" s="4" t="s">
        <v>150</v>
      </c>
      <c r="E1325" s="5" t="s">
        <v>5</v>
      </c>
      <c r="F1325" s="4" t="s">
        <v>1543</v>
      </c>
      <c r="G1325" s="19" t="str">
        <f>HYPERLINK("https://www.facebook.com/SachinStalin/videos/10163322578630422/UzpfSTYzMzg0MDI0ODoxMDE2MzAzNjQ2MTAzMDI0OQ/","Facebook")</f>
        <v>Facebook</v>
      </c>
      <c r="H1325" s="6" t="s">
        <v>11</v>
      </c>
      <c r="I1325" s="5" t="s">
        <v>305</v>
      </c>
      <c r="J1325" s="5" t="s">
        <v>1455</v>
      </c>
      <c r="K1325" s="5" t="s">
        <v>0</v>
      </c>
    </row>
    <row r="1326" spans="2:11" ht="15.75" hidden="1" customHeight="1" x14ac:dyDescent="0.2">
      <c r="B1326" s="4" t="s">
        <v>1435</v>
      </c>
      <c r="C1326" s="6" t="s">
        <v>271</v>
      </c>
      <c r="D1326" s="6" t="s">
        <v>94</v>
      </c>
      <c r="E1326" s="18" t="s">
        <v>159</v>
      </c>
      <c r="F1326" s="4" t="s">
        <v>1542</v>
      </c>
      <c r="G1326" s="19" t="s">
        <v>272</v>
      </c>
      <c r="H1326" s="6">
        <v>19</v>
      </c>
      <c r="I1326" s="5" t="s">
        <v>305</v>
      </c>
      <c r="J1326" s="5" t="s">
        <v>1485</v>
      </c>
      <c r="K1326" s="5" t="s">
        <v>1430</v>
      </c>
    </row>
    <row r="1327" spans="2:11" ht="15.75" hidden="1" customHeight="1" x14ac:dyDescent="0.2">
      <c r="B1327" s="4" t="s">
        <v>1435</v>
      </c>
      <c r="C1327" s="4" t="s">
        <v>1541</v>
      </c>
      <c r="D1327" s="4" t="s">
        <v>36</v>
      </c>
      <c r="E1327" s="18" t="s">
        <v>159</v>
      </c>
      <c r="F1327" s="4" t="s">
        <v>1540</v>
      </c>
      <c r="G1327" s="19" t="s">
        <v>3</v>
      </c>
      <c r="H1327" s="6" t="s">
        <v>3</v>
      </c>
      <c r="I1327" s="5" t="s">
        <v>305</v>
      </c>
      <c r="J1327" s="5" t="s">
        <v>1455</v>
      </c>
      <c r="K1327" s="5" t="s">
        <v>34</v>
      </c>
    </row>
    <row r="1328" spans="2:11" ht="15.75" hidden="1" customHeight="1" x14ac:dyDescent="0.2">
      <c r="B1328" s="4" t="s">
        <v>1435</v>
      </c>
      <c r="C1328" s="6"/>
      <c r="D1328" s="6"/>
      <c r="E1328" s="5" t="s">
        <v>5</v>
      </c>
      <c r="F1328" s="4" t="s">
        <v>1539</v>
      </c>
      <c r="G1328" s="19" t="s">
        <v>1467</v>
      </c>
      <c r="H1328" s="6" t="s">
        <v>11</v>
      </c>
      <c r="I1328" s="5" t="s">
        <v>305</v>
      </c>
      <c r="J1328" s="5" t="s">
        <v>1455</v>
      </c>
      <c r="K1328" s="5" t="s">
        <v>0</v>
      </c>
    </row>
    <row r="1329" spans="2:11" ht="15.75" hidden="1" customHeight="1" x14ac:dyDescent="0.2">
      <c r="B1329" s="4" t="s">
        <v>1435</v>
      </c>
      <c r="C1329" s="5" t="s">
        <v>150</v>
      </c>
      <c r="D1329" s="5" t="s">
        <v>150</v>
      </c>
      <c r="E1329" s="5" t="s">
        <v>23</v>
      </c>
      <c r="F1329" s="4" t="s">
        <v>1538</v>
      </c>
      <c r="G1329" s="14" t="s">
        <v>11</v>
      </c>
      <c r="H1329" s="6" t="s">
        <v>11</v>
      </c>
      <c r="I1329" s="5" t="s">
        <v>305</v>
      </c>
      <c r="J1329" s="5" t="s">
        <v>1439</v>
      </c>
      <c r="K1329" s="5" t="s">
        <v>955</v>
      </c>
    </row>
    <row r="1330" spans="2:11" ht="15.75" hidden="1" customHeight="1" x14ac:dyDescent="0.2">
      <c r="B1330" s="4" t="s">
        <v>1435</v>
      </c>
      <c r="C1330" s="4" t="s">
        <v>104</v>
      </c>
      <c r="D1330" s="4" t="s">
        <v>18</v>
      </c>
      <c r="E1330" s="5" t="s">
        <v>5</v>
      </c>
      <c r="F1330" s="4" t="s">
        <v>1537</v>
      </c>
      <c r="G1330" s="19" t="str">
        <f>HYPERLINK("https://timesofindia.indiatimes.com/city/mumbai/maharashtra-no-more-horse-cart-rides-on-tableland/articleshow/74187979.cms","News")</f>
        <v>News</v>
      </c>
      <c r="H1330" s="6" t="s">
        <v>3</v>
      </c>
      <c r="I1330" s="5" t="s">
        <v>305</v>
      </c>
      <c r="J1330" s="5" t="s">
        <v>1431</v>
      </c>
      <c r="K1330" s="5" t="s">
        <v>1430</v>
      </c>
    </row>
    <row r="1331" spans="2:11" ht="15.75" hidden="1" customHeight="1" x14ac:dyDescent="0.2">
      <c r="B1331" s="4" t="s">
        <v>1435</v>
      </c>
      <c r="C1331" s="6"/>
      <c r="D1331" s="6" t="s">
        <v>94</v>
      </c>
      <c r="E1331" s="18" t="s">
        <v>159</v>
      </c>
      <c r="F1331" s="4" t="s">
        <v>1536</v>
      </c>
      <c r="G1331" s="19" t="str">
        <f>HYPERLINK("https://www.facebook.com/444351219341670/posts/863753220734799/","Facebook")</f>
        <v>Facebook</v>
      </c>
      <c r="H1331" s="6" t="s">
        <v>11</v>
      </c>
      <c r="I1331" s="5" t="s">
        <v>305</v>
      </c>
      <c r="J1331" s="5" t="s">
        <v>1431</v>
      </c>
      <c r="K1331" s="5" t="s">
        <v>1430</v>
      </c>
    </row>
    <row r="1332" spans="2:11" ht="15.75" hidden="1" customHeight="1" x14ac:dyDescent="0.2">
      <c r="B1332" s="4" t="s">
        <v>1435</v>
      </c>
      <c r="C1332" s="4" t="s">
        <v>1535</v>
      </c>
      <c r="D1332" s="4" t="s">
        <v>88</v>
      </c>
      <c r="E1332" s="5" t="s">
        <v>5</v>
      </c>
      <c r="F1332" s="4" t="s">
        <v>1534</v>
      </c>
      <c r="G1332" s="19" t="str">
        <f>HYPERLINK("https://www.hindustantimes.com/india-news/man-dies-after-he-was-injured-by-rooster-during-illegal-cockfight-in-bengal/story-Wq40HbVhlMySdu2GP8JZKL.html","News")</f>
        <v>News</v>
      </c>
      <c r="H1332" s="6" t="s">
        <v>3</v>
      </c>
      <c r="I1332" s="5" t="s">
        <v>305</v>
      </c>
      <c r="J1332" s="5" t="s">
        <v>1455</v>
      </c>
      <c r="K1332" s="5" t="s">
        <v>1518</v>
      </c>
    </row>
    <row r="1333" spans="2:11" ht="15.75" hidden="1" customHeight="1" x14ac:dyDescent="0.2">
      <c r="B1333" s="4" t="s">
        <v>1435</v>
      </c>
      <c r="C1333" s="4" t="s">
        <v>313</v>
      </c>
      <c r="D1333" s="4" t="s">
        <v>42</v>
      </c>
      <c r="E1333" s="5" t="s">
        <v>159</v>
      </c>
      <c r="F1333" s="4" t="s">
        <v>1533</v>
      </c>
      <c r="G1333" s="19" t="str">
        <f>HYPERLINK("https://www.indiatoday.in/amp/trending-news/story/five-langurs-added-in-trump-s-security-team-for-his-visit-to-taj-mahal-in-agra-1649064-2020-02-22?fbclid=IwAR1sEaE7Nagvihmd-CEamTwNtUWJ99S73ouZjkHrWpFzbp2H-iqprYyWgnQ","News")</f>
        <v>News</v>
      </c>
      <c r="H1333" s="6" t="s">
        <v>3</v>
      </c>
      <c r="I1333" s="5" t="s">
        <v>305</v>
      </c>
      <c r="J1333" s="5" t="s">
        <v>1439</v>
      </c>
      <c r="K1333" s="5" t="s">
        <v>955</v>
      </c>
    </row>
    <row r="1334" spans="2:11" ht="15.75" hidden="1" customHeight="1" x14ac:dyDescent="0.2">
      <c r="B1334" s="4" t="s">
        <v>1435</v>
      </c>
      <c r="C1334" s="6"/>
      <c r="D1334" s="4" t="s">
        <v>77</v>
      </c>
      <c r="E1334" s="5" t="s">
        <v>159</v>
      </c>
      <c r="F1334" s="4" t="s">
        <v>1532</v>
      </c>
      <c r="G1334" s="19" t="str">
        <f>HYPERLINK("https://www.newindianexpress.com/entertainment/tamil/2020/feb/22/dinesh-vikram-sugumaran-team-up-for-therum-porum-2106671.html","News")</f>
        <v>News</v>
      </c>
      <c r="H1334" s="6" t="s">
        <v>3</v>
      </c>
      <c r="I1334" s="5" t="s">
        <v>305</v>
      </c>
      <c r="J1334" s="5" t="s">
        <v>1436</v>
      </c>
      <c r="K1334" s="5" t="s">
        <v>34</v>
      </c>
    </row>
    <row r="1335" spans="2:11" ht="15.75" hidden="1" customHeight="1" x14ac:dyDescent="0.2">
      <c r="B1335" s="4" t="s">
        <v>1435</v>
      </c>
      <c r="C1335" s="6"/>
      <c r="D1335" s="4" t="s">
        <v>154</v>
      </c>
      <c r="E1335" s="5" t="s">
        <v>159</v>
      </c>
      <c r="F1335" s="4" t="s">
        <v>1531</v>
      </c>
      <c r="G1335" s="19" t="s">
        <v>1467</v>
      </c>
      <c r="H1335" s="6" t="s">
        <v>11</v>
      </c>
      <c r="I1335" s="5" t="s">
        <v>305</v>
      </c>
      <c r="J1335" s="5" t="s">
        <v>1431</v>
      </c>
      <c r="K1335" s="5" t="s">
        <v>639</v>
      </c>
    </row>
    <row r="1336" spans="2:11" ht="15.75" hidden="1" customHeight="1" x14ac:dyDescent="0.2">
      <c r="B1336" s="4" t="s">
        <v>1435</v>
      </c>
      <c r="C1336" s="4" t="s">
        <v>1530</v>
      </c>
      <c r="D1336" s="4" t="s">
        <v>18</v>
      </c>
      <c r="E1336" s="5" t="s">
        <v>159</v>
      </c>
      <c r="F1336" s="4" t="s">
        <v>1529</v>
      </c>
      <c r="G1336" s="19" t="str">
        <f>HYPERLINK("https://www.hindustantimes.com/india-news/dog-racing-emerges-as-new-maharashtra-craze-activists-cry-foul/story-4K6CY7nwEl1dPGskthps1M.html","News")</f>
        <v>News</v>
      </c>
      <c r="H1336" s="6" t="s">
        <v>3</v>
      </c>
      <c r="I1336" s="5" t="s">
        <v>305</v>
      </c>
      <c r="J1336" s="5" t="s">
        <v>1528</v>
      </c>
      <c r="K1336" s="5" t="s">
        <v>1527</v>
      </c>
    </row>
    <row r="1337" spans="2:11" ht="15.75" hidden="1" customHeight="1" x14ac:dyDescent="0.2">
      <c r="B1337" s="4" t="s">
        <v>1435</v>
      </c>
      <c r="C1337" s="6" t="s">
        <v>1526</v>
      </c>
      <c r="D1337" s="4" t="s">
        <v>77</v>
      </c>
      <c r="E1337" s="5" t="s">
        <v>159</v>
      </c>
      <c r="F1337" s="4" t="s">
        <v>1525</v>
      </c>
      <c r="G1337" s="19" t="str">
        <f>HYPERLINK("https://www.thehindu.com/news/national/tamil-nadu/two-tamers-including-student-killed-in-two-jallikattu-events/article30897852.ece?fbclid=IwAR1I0reJWZLpm69EPotF-i0n61nRqpEjIMLtp7pRrfO4_mvqPmaNKAWJyCU","News")</f>
        <v>News</v>
      </c>
      <c r="H1337" s="6" t="s">
        <v>3</v>
      </c>
      <c r="I1337" s="5" t="s">
        <v>305</v>
      </c>
      <c r="J1337" s="5" t="s">
        <v>1455</v>
      </c>
      <c r="K1337" s="5" t="s">
        <v>34</v>
      </c>
    </row>
    <row r="1338" spans="2:11" ht="15.75" hidden="1" customHeight="1" x14ac:dyDescent="0.2">
      <c r="B1338" s="4" t="s">
        <v>1435</v>
      </c>
      <c r="C1338" s="4" t="s">
        <v>382</v>
      </c>
      <c r="D1338" s="4" t="s">
        <v>77</v>
      </c>
      <c r="E1338" s="5" t="s">
        <v>159</v>
      </c>
      <c r="F1338" s="4" t="s">
        <v>1524</v>
      </c>
      <c r="G1338" s="19" t="str">
        <f>HYPERLINK("https://www.dtnext.in/News/TamilNadu/2020/02/24013855/1216730/Youth-killed-while-taming-bull-at-jallikattu-in-Kovai.vpf","News")</f>
        <v>News</v>
      </c>
      <c r="H1338" s="6" t="s">
        <v>3</v>
      </c>
      <c r="I1338" s="5" t="s">
        <v>305</v>
      </c>
      <c r="J1338" s="5" t="s">
        <v>1455</v>
      </c>
      <c r="K1338" s="5" t="s">
        <v>34</v>
      </c>
    </row>
    <row r="1339" spans="2:11" ht="15.75" hidden="1" customHeight="1" x14ac:dyDescent="0.2">
      <c r="B1339" s="4" t="s">
        <v>1435</v>
      </c>
      <c r="C1339" s="4" t="s">
        <v>426</v>
      </c>
      <c r="D1339" s="4" t="s">
        <v>426</v>
      </c>
      <c r="E1339" s="5" t="s">
        <v>159</v>
      </c>
      <c r="F1339" s="4" t="s">
        <v>1523</v>
      </c>
      <c r="G1339" s="19" t="str">
        <f>HYPERLINK("https://timesofindia.indiatimes.com/city/chandigarh/mohali-budding-vet-saves-2-mouth-serpent-from-fraud-charmer/articleshow/74275401.cms","News")</f>
        <v>News</v>
      </c>
      <c r="H1339" s="6" t="s">
        <v>3</v>
      </c>
      <c r="I1339" s="5" t="s">
        <v>305</v>
      </c>
      <c r="J1339" s="5" t="s">
        <v>1522</v>
      </c>
      <c r="K1339" s="5" t="s">
        <v>1469</v>
      </c>
    </row>
    <row r="1340" spans="2:11" ht="15.75" hidden="1" customHeight="1" x14ac:dyDescent="0.2">
      <c r="B1340" s="4" t="s">
        <v>1435</v>
      </c>
      <c r="C1340" s="6"/>
      <c r="D1340" s="4" t="s">
        <v>236</v>
      </c>
      <c r="E1340" s="5" t="s">
        <v>159</v>
      </c>
      <c r="F1340" s="4" t="s">
        <v>1521</v>
      </c>
      <c r="G1340" s="19" t="str">
        <f>HYPERLINK("https://www.facebook.com/groups/317699935646466/permalink/642715226478267/","Facebook ")</f>
        <v xml:space="preserve">Facebook </v>
      </c>
      <c r="H1340" s="6" t="s">
        <v>11</v>
      </c>
      <c r="I1340" s="5" t="s">
        <v>305</v>
      </c>
      <c r="J1340" s="5" t="s">
        <v>1455</v>
      </c>
      <c r="K1340" s="5" t="s">
        <v>34</v>
      </c>
    </row>
    <row r="1341" spans="2:11" ht="15.75" hidden="1" customHeight="1" x14ac:dyDescent="0.2">
      <c r="B1341" s="4" t="s">
        <v>1435</v>
      </c>
      <c r="C1341" s="6"/>
      <c r="D1341" s="4" t="s">
        <v>236</v>
      </c>
      <c r="E1341" s="5" t="s">
        <v>5</v>
      </c>
      <c r="F1341" s="4" t="s">
        <v>1520</v>
      </c>
      <c r="G1341" s="19" t="str">
        <f>HYPERLINK("https://timesofindia.indiatimes.com/city/goa/govt-spice-farms-get-high-court-notice-over-use-of-elephants/articleshow/74314004.cms","News")</f>
        <v>News</v>
      </c>
      <c r="H1341" s="6" t="s">
        <v>3</v>
      </c>
      <c r="I1341" s="5" t="s">
        <v>305</v>
      </c>
      <c r="J1341" s="5" t="s">
        <v>1455</v>
      </c>
      <c r="K1341" s="5" t="s">
        <v>64</v>
      </c>
    </row>
    <row r="1342" spans="2:11" ht="15.75" hidden="1" customHeight="1" x14ac:dyDescent="0.2">
      <c r="B1342" s="4" t="s">
        <v>1435</v>
      </c>
      <c r="C1342" s="4" t="s">
        <v>706</v>
      </c>
      <c r="D1342" s="4" t="s">
        <v>18</v>
      </c>
      <c r="E1342" s="5" t="s">
        <v>23</v>
      </c>
      <c r="F1342" s="4" t="s">
        <v>1519</v>
      </c>
      <c r="G1342" s="19" t="str">
        <f>HYPERLINK("https://www.nagpurtoday.in/cockfight-betting-racket-busted-3-held-in-lakadganj/02271510","News")</f>
        <v>News</v>
      </c>
      <c r="H1342" s="6" t="s">
        <v>3</v>
      </c>
      <c r="I1342" s="5" t="s">
        <v>305</v>
      </c>
      <c r="J1342" s="5" t="s">
        <v>1455</v>
      </c>
      <c r="K1342" s="5" t="s">
        <v>1518</v>
      </c>
    </row>
    <row r="1343" spans="2:11" ht="15.75" hidden="1" customHeight="1" x14ac:dyDescent="0.2">
      <c r="B1343" s="4" t="s">
        <v>1435</v>
      </c>
      <c r="C1343" s="4" t="s">
        <v>408</v>
      </c>
      <c r="D1343" s="4" t="s">
        <v>28</v>
      </c>
      <c r="E1343" s="4" t="s">
        <v>17</v>
      </c>
      <c r="F1343" s="4" t="s">
        <v>1517</v>
      </c>
      <c r="G1343" s="19" t="str">
        <f>HYPERLINK("https://www.youtube.com/watch?v=oBBvNGKuc9A","Youtube")</f>
        <v>Youtube</v>
      </c>
      <c r="H1343" s="6" t="s">
        <v>3</v>
      </c>
      <c r="I1343" s="5" t="s">
        <v>305</v>
      </c>
      <c r="J1343" s="5" t="s">
        <v>1492</v>
      </c>
      <c r="K1343" s="5" t="s">
        <v>64</v>
      </c>
    </row>
    <row r="1344" spans="2:11" ht="15.75" hidden="1" customHeight="1" x14ac:dyDescent="0.2">
      <c r="B1344" s="4" t="s">
        <v>1435</v>
      </c>
      <c r="C1344" s="4" t="s">
        <v>1516</v>
      </c>
      <c r="D1344" s="4" t="s">
        <v>18</v>
      </c>
      <c r="E1344" s="5" t="s">
        <v>5</v>
      </c>
      <c r="F1344" s="4" t="s">
        <v>1515</v>
      </c>
      <c r="G1344" s="19" t="str">
        <f>HYPERLINK("https://timesofindia.indiatimes.com/city/nagpur/bhandara-dy-collector-permits-bullock-cart-race-backtracks/articleshow/73902583.cms","News")</f>
        <v>News</v>
      </c>
      <c r="H1344" s="6" t="s">
        <v>3</v>
      </c>
      <c r="I1344" s="5" t="s">
        <v>305</v>
      </c>
      <c r="J1344" s="5" t="s">
        <v>1455</v>
      </c>
      <c r="K1344" s="5" t="s">
        <v>34</v>
      </c>
    </row>
    <row r="1345" spans="2:11" ht="15.75" hidden="1" customHeight="1" x14ac:dyDescent="0.2">
      <c r="B1345" s="4" t="s">
        <v>1435</v>
      </c>
      <c r="C1345" s="4" t="s">
        <v>1514</v>
      </c>
      <c r="D1345" s="4" t="s">
        <v>71</v>
      </c>
      <c r="E1345" s="4" t="s">
        <v>17</v>
      </c>
      <c r="F1345" s="4" t="s">
        <v>1513</v>
      </c>
      <c r="G1345" s="19" t="s">
        <v>1493</v>
      </c>
      <c r="H1345" s="6" t="s">
        <v>3</v>
      </c>
      <c r="I1345" s="5" t="s">
        <v>305</v>
      </c>
      <c r="J1345" s="5" t="s">
        <v>1492</v>
      </c>
      <c r="K1345" s="5" t="s">
        <v>840</v>
      </c>
    </row>
    <row r="1346" spans="2:11" ht="15.75" hidden="1" customHeight="1" x14ac:dyDescent="0.2">
      <c r="B1346" s="4" t="s">
        <v>1435</v>
      </c>
      <c r="C1346" s="4" t="s">
        <v>1512</v>
      </c>
      <c r="D1346" s="4" t="s">
        <v>13</v>
      </c>
      <c r="E1346" s="4" t="s">
        <v>17</v>
      </c>
      <c r="F1346" s="4" t="s">
        <v>1511</v>
      </c>
      <c r="G1346" s="14" t="s">
        <v>11</v>
      </c>
      <c r="H1346" s="6" t="s">
        <v>11</v>
      </c>
      <c r="I1346" s="5" t="s">
        <v>305</v>
      </c>
      <c r="J1346" s="5" t="s">
        <v>304</v>
      </c>
      <c r="K1346" s="4" t="s">
        <v>840</v>
      </c>
    </row>
    <row r="1347" spans="2:11" ht="15.75" hidden="1" customHeight="1" x14ac:dyDescent="0.2">
      <c r="B1347" s="4" t="s">
        <v>1435</v>
      </c>
      <c r="C1347" s="4" t="s">
        <v>1510</v>
      </c>
      <c r="D1347" s="4" t="s">
        <v>150</v>
      </c>
      <c r="E1347" s="4" t="s">
        <v>17</v>
      </c>
      <c r="F1347" s="4" t="s">
        <v>1509</v>
      </c>
      <c r="G1347" s="19" t="str">
        <f>HYPERLINK("https://www.facebook.com/photo.php?fbid=10163060234975492&amp;set=pcb.2708934212505792&amp;type=3&amp;theater&amp;ifg=1","Facebook")</f>
        <v>Facebook</v>
      </c>
      <c r="H1347" s="6" t="s">
        <v>11</v>
      </c>
      <c r="I1347" s="5" t="s">
        <v>305</v>
      </c>
      <c r="J1347" s="5" t="s">
        <v>1439</v>
      </c>
      <c r="K1347" s="5" t="s">
        <v>19</v>
      </c>
    </row>
    <row r="1348" spans="2:11" ht="15.75" hidden="1" customHeight="1" x14ac:dyDescent="0.2">
      <c r="B1348" s="4" t="s">
        <v>1435</v>
      </c>
      <c r="C1348" s="4" t="s">
        <v>1508</v>
      </c>
      <c r="D1348" s="4" t="s">
        <v>1507</v>
      </c>
      <c r="E1348" s="4" t="s">
        <v>5</v>
      </c>
      <c r="F1348" s="4" t="s">
        <v>1506</v>
      </c>
      <c r="G1348" s="14" t="s">
        <v>3</v>
      </c>
      <c r="H1348" s="6" t="s">
        <v>3</v>
      </c>
      <c r="I1348" s="5" t="s">
        <v>305</v>
      </c>
      <c r="J1348" s="5" t="s">
        <v>1439</v>
      </c>
      <c r="K1348" s="5" t="s">
        <v>879</v>
      </c>
    </row>
    <row r="1349" spans="2:11" ht="15.75" hidden="1" customHeight="1" x14ac:dyDescent="0.2">
      <c r="B1349" s="4" t="s">
        <v>1435</v>
      </c>
      <c r="C1349" s="4" t="s">
        <v>1505</v>
      </c>
      <c r="D1349" s="4" t="s">
        <v>18</v>
      </c>
      <c r="E1349" s="5" t="s">
        <v>23</v>
      </c>
      <c r="F1349" s="4" t="s">
        <v>1504</v>
      </c>
      <c r="G1349" s="19" t="str">
        <f>HYPERLINK("https://indianexpress.com/article/cities/mumbai/16-held-for-organising-horse-cart-race-on-mumbai-ahmedabad-highway-6251504/","News")</f>
        <v>News</v>
      </c>
      <c r="H1349" s="6" t="s">
        <v>3</v>
      </c>
      <c r="I1349" s="5" t="s">
        <v>305</v>
      </c>
      <c r="J1349" s="5" t="s">
        <v>1455</v>
      </c>
      <c r="K1349" s="5" t="s">
        <v>1430</v>
      </c>
    </row>
    <row r="1350" spans="2:11" ht="15.75" hidden="1" customHeight="1" x14ac:dyDescent="0.2">
      <c r="B1350" s="4" t="s">
        <v>1435</v>
      </c>
      <c r="C1350" s="4" t="s">
        <v>313</v>
      </c>
      <c r="D1350" s="4" t="s">
        <v>42</v>
      </c>
      <c r="E1350" s="4" t="s">
        <v>17</v>
      </c>
      <c r="F1350" s="4" t="s">
        <v>1503</v>
      </c>
      <c r="G1350" s="19" t="str">
        <f>HYPERLINK("https://timesofindia.indiatimes.com/city/agra/traders-take-out-baraat-of-donkeys-to-protest-amcs-parking-charges/articleshow/73943576.cms","News")</f>
        <v>News</v>
      </c>
      <c r="H1350" s="6" t="s">
        <v>3</v>
      </c>
      <c r="I1350" s="5" t="s">
        <v>305</v>
      </c>
      <c r="J1350" s="5" t="s">
        <v>1480</v>
      </c>
      <c r="K1350" s="5" t="s">
        <v>639</v>
      </c>
    </row>
    <row r="1351" spans="2:11" ht="15.75" hidden="1" customHeight="1" x14ac:dyDescent="0.2">
      <c r="B1351" s="4" t="s">
        <v>1435</v>
      </c>
      <c r="C1351" s="4"/>
      <c r="D1351" s="4"/>
      <c r="E1351" s="5" t="s">
        <v>17</v>
      </c>
      <c r="F1351" s="4" t="s">
        <v>1502</v>
      </c>
      <c r="G1351" s="14" t="s">
        <v>11</v>
      </c>
      <c r="H1351" s="6" t="s">
        <v>11</v>
      </c>
      <c r="I1351" s="22" t="s">
        <v>305</v>
      </c>
      <c r="J1351" s="5" t="s">
        <v>1455</v>
      </c>
      <c r="K1351" s="5" t="s">
        <v>367</v>
      </c>
    </row>
    <row r="1352" spans="2:11" ht="15.75" hidden="1" customHeight="1" x14ac:dyDescent="0.2">
      <c r="B1352" s="4" t="s">
        <v>1435</v>
      </c>
      <c r="C1352" s="6" t="s">
        <v>358</v>
      </c>
      <c r="D1352" s="6" t="s">
        <v>42</v>
      </c>
      <c r="E1352" s="4" t="s">
        <v>17</v>
      </c>
      <c r="F1352" s="4" t="s">
        <v>1501</v>
      </c>
      <c r="G1352" s="19" t="str">
        <f>HYPERLINK("https://www.facebook.com/deepak.khurana.9699/posts/10157859492810833","Facebook")</f>
        <v>Facebook</v>
      </c>
      <c r="H1352" s="6" t="s">
        <v>11</v>
      </c>
      <c r="I1352" s="22" t="s">
        <v>305</v>
      </c>
      <c r="J1352" s="5" t="s">
        <v>1485</v>
      </c>
      <c r="K1352" s="5" t="s">
        <v>1430</v>
      </c>
    </row>
    <row r="1353" spans="2:11" ht="15.75" hidden="1" customHeight="1" x14ac:dyDescent="0.2">
      <c r="B1353" s="4" t="s">
        <v>1435</v>
      </c>
      <c r="C1353" s="6"/>
      <c r="D1353" s="4" t="s">
        <v>154</v>
      </c>
      <c r="E1353" s="5" t="s">
        <v>5</v>
      </c>
      <c r="F1353" s="4" t="s">
        <v>1500</v>
      </c>
      <c r="G1353" s="19" t="str">
        <f>HYPERLINK("https://www.facebook.com/groups/19045359536/permalink/10157019331074537/","Facebook")</f>
        <v>Facebook</v>
      </c>
      <c r="H1353" s="6" t="s">
        <v>11</v>
      </c>
      <c r="I1353" s="22" t="s">
        <v>305</v>
      </c>
      <c r="J1353" s="5" t="s">
        <v>1455</v>
      </c>
      <c r="K1353" s="5" t="s">
        <v>0</v>
      </c>
    </row>
    <row r="1354" spans="2:11" ht="15.75" hidden="1" customHeight="1" x14ac:dyDescent="0.2">
      <c r="B1354" s="4" t="s">
        <v>1435</v>
      </c>
      <c r="C1354" s="4" t="s">
        <v>1499</v>
      </c>
      <c r="D1354" s="4" t="s">
        <v>77</v>
      </c>
      <c r="E1354" s="4" t="s">
        <v>27</v>
      </c>
      <c r="F1354" s="4" t="s">
        <v>1498</v>
      </c>
      <c r="G1354" s="14" t="s">
        <v>3</v>
      </c>
      <c r="H1354" s="6" t="s">
        <v>3</v>
      </c>
      <c r="I1354" s="22" t="s">
        <v>305</v>
      </c>
      <c r="J1354" s="5" t="s">
        <v>1455</v>
      </c>
      <c r="K1354" s="5" t="s">
        <v>34</v>
      </c>
    </row>
    <row r="1355" spans="2:11" ht="15.75" hidden="1" customHeight="1" x14ac:dyDescent="0.2">
      <c r="B1355" s="4" t="s">
        <v>1435</v>
      </c>
      <c r="C1355" s="4" t="s">
        <v>32</v>
      </c>
      <c r="D1355" s="4" t="s">
        <v>18</v>
      </c>
      <c r="E1355" s="5" t="s">
        <v>159</v>
      </c>
      <c r="F1355" s="4" t="s">
        <v>1497</v>
      </c>
      <c r="G1355" s="19" t="str">
        <f>HYPERLINK("https://www.facebook.com/sagar.savla.9/posts/2506698152774557","Facebook")</f>
        <v>Facebook</v>
      </c>
      <c r="H1355" s="6" t="s">
        <v>11</v>
      </c>
      <c r="I1355" s="22" t="s">
        <v>305</v>
      </c>
      <c r="J1355" s="5" t="s">
        <v>1485</v>
      </c>
      <c r="K1355" s="5" t="s">
        <v>639</v>
      </c>
    </row>
    <row r="1356" spans="2:11" ht="15.75" hidden="1" customHeight="1" x14ac:dyDescent="0.2">
      <c r="B1356" s="4" t="s">
        <v>1435</v>
      </c>
      <c r="C1356" s="6"/>
      <c r="D1356" s="4" t="s">
        <v>236</v>
      </c>
      <c r="E1356" s="5" t="s">
        <v>159</v>
      </c>
      <c r="F1356" s="4" t="s">
        <v>1496</v>
      </c>
      <c r="G1356" s="19" t="str">
        <f>HYPERLINK("https://drive.google.com/open?id=1dGCvtzIYQ58_iqUeAX_VG6ckDlvZauSD","Mail by Alok")</f>
        <v>Mail by Alok</v>
      </c>
      <c r="H1356" s="6" t="s">
        <v>272</v>
      </c>
      <c r="I1356" s="5" t="s">
        <v>305</v>
      </c>
      <c r="J1356" s="5" t="s">
        <v>1492</v>
      </c>
      <c r="K1356" s="5" t="s">
        <v>1430</v>
      </c>
    </row>
    <row r="1357" spans="2:11" ht="15.75" hidden="1" customHeight="1" x14ac:dyDescent="0.2">
      <c r="B1357" s="4" t="s">
        <v>1435</v>
      </c>
      <c r="C1357" s="4" t="s">
        <v>1495</v>
      </c>
      <c r="D1357" s="4" t="s">
        <v>94</v>
      </c>
      <c r="E1357" s="5" t="s">
        <v>159</v>
      </c>
      <c r="F1357" s="4" t="s">
        <v>1494</v>
      </c>
      <c r="G1357" s="19" t="s">
        <v>1493</v>
      </c>
      <c r="H1357" s="6" t="s">
        <v>3</v>
      </c>
      <c r="I1357" s="5" t="s">
        <v>305</v>
      </c>
      <c r="J1357" s="5" t="s">
        <v>1492</v>
      </c>
      <c r="K1357" s="5" t="s">
        <v>840</v>
      </c>
    </row>
    <row r="1358" spans="2:11" ht="15.75" hidden="1" customHeight="1" x14ac:dyDescent="0.2">
      <c r="B1358" s="4" t="s">
        <v>1435</v>
      </c>
      <c r="C1358" s="4" t="s">
        <v>1491</v>
      </c>
      <c r="D1358" s="4" t="s">
        <v>77</v>
      </c>
      <c r="E1358" s="5" t="s">
        <v>159</v>
      </c>
      <c r="F1358" s="4" t="s">
        <v>1490</v>
      </c>
      <c r="G1358" s="19" t="str">
        <f>HYPERLINK("https://timesofindia.indiatimes.com/city/chennai/donkeys-to-deliver-pongal-gifts-to-remote-village-in-vellore/articleshow/73163368.cms","News")</f>
        <v>News</v>
      </c>
      <c r="H1358" s="6" t="s">
        <v>3</v>
      </c>
      <c r="I1358" s="5" t="s">
        <v>305</v>
      </c>
      <c r="J1358" s="5" t="s">
        <v>1431</v>
      </c>
      <c r="K1358" s="5" t="s">
        <v>639</v>
      </c>
    </row>
    <row r="1359" spans="2:11" ht="15.75" hidden="1" customHeight="1" x14ac:dyDescent="0.2">
      <c r="B1359" s="4" t="s">
        <v>1435</v>
      </c>
      <c r="C1359" s="4" t="s">
        <v>1489</v>
      </c>
      <c r="D1359" s="4" t="s">
        <v>267</v>
      </c>
      <c r="E1359" s="5" t="s">
        <v>159</v>
      </c>
      <c r="F1359" s="4" t="s">
        <v>1488</v>
      </c>
      <c r="G1359" s="19" t="str">
        <f>HYPERLINK("https://timesofindia.indiatimes.com/city/coimbatore/bulls-joust-for-top-position-at-this-race/articleshow/73171900.cms","News")</f>
        <v>News</v>
      </c>
      <c r="H1359" s="6" t="s">
        <v>3</v>
      </c>
      <c r="I1359" s="5" t="s">
        <v>305</v>
      </c>
      <c r="J1359" s="5" t="s">
        <v>1455</v>
      </c>
      <c r="K1359" s="5" t="s">
        <v>34</v>
      </c>
    </row>
    <row r="1360" spans="2:11" ht="15.75" hidden="1" customHeight="1" x14ac:dyDescent="0.2">
      <c r="B1360" s="4" t="s">
        <v>1435</v>
      </c>
      <c r="C1360" s="4" t="s">
        <v>1487</v>
      </c>
      <c r="D1360" s="4" t="s">
        <v>36</v>
      </c>
      <c r="E1360" s="5" t="s">
        <v>159</v>
      </c>
      <c r="F1360" s="4" t="s">
        <v>1486</v>
      </c>
      <c r="G1360" s="19" t="str">
        <f>HYPERLINK("https://timesofindia.indiatimes.com/citizen-reporter/stories/donkeysletlooseinmalleshwaram/articleshow/73180786.cms","News")</f>
        <v>News</v>
      </c>
      <c r="H1360" s="6" t="s">
        <v>3</v>
      </c>
      <c r="I1360" s="5" t="s">
        <v>305</v>
      </c>
      <c r="J1360" s="5" t="s">
        <v>1485</v>
      </c>
      <c r="K1360" s="5" t="s">
        <v>639</v>
      </c>
    </row>
    <row r="1361" spans="2:11" ht="15.75" hidden="1" customHeight="1" x14ac:dyDescent="0.2">
      <c r="B1361" s="4" t="s">
        <v>1435</v>
      </c>
      <c r="C1361" s="6"/>
      <c r="D1361" s="6"/>
      <c r="E1361" s="5" t="s">
        <v>159</v>
      </c>
      <c r="F1361" s="4" t="s">
        <v>1484</v>
      </c>
      <c r="G1361" s="19" t="s">
        <v>3</v>
      </c>
      <c r="H1361" s="6" t="s">
        <v>3</v>
      </c>
      <c r="I1361" s="5" t="s">
        <v>305</v>
      </c>
      <c r="J1361" s="5" t="s">
        <v>1431</v>
      </c>
      <c r="K1361" s="5" t="s">
        <v>204</v>
      </c>
    </row>
    <row r="1362" spans="2:11" ht="15.75" hidden="1" customHeight="1" x14ac:dyDescent="0.2">
      <c r="B1362" s="4" t="s">
        <v>1435</v>
      </c>
      <c r="C1362" s="4" t="s">
        <v>1483</v>
      </c>
      <c r="D1362" s="4" t="s">
        <v>42</v>
      </c>
      <c r="E1362" s="5" t="s">
        <v>159</v>
      </c>
      <c r="F1362" s="4" t="s">
        <v>1482</v>
      </c>
      <c r="G1362" s="19" t="s">
        <v>1467</v>
      </c>
      <c r="H1362" s="6" t="s">
        <v>11</v>
      </c>
      <c r="I1362" s="5" t="s">
        <v>305</v>
      </c>
      <c r="J1362" s="5" t="s">
        <v>1439</v>
      </c>
      <c r="K1362" s="5" t="s">
        <v>955</v>
      </c>
    </row>
    <row r="1363" spans="2:11" ht="15.75" hidden="1" customHeight="1" x14ac:dyDescent="0.2">
      <c r="B1363" s="4" t="s">
        <v>1435</v>
      </c>
      <c r="C1363" s="6"/>
      <c r="D1363" s="4" t="s">
        <v>13</v>
      </c>
      <c r="E1363" s="5" t="s">
        <v>5</v>
      </c>
      <c r="F1363" s="4" t="s">
        <v>1481</v>
      </c>
      <c r="G1363" s="17" t="s">
        <v>11</v>
      </c>
      <c r="H1363" s="6" t="s">
        <v>11</v>
      </c>
      <c r="I1363" s="5" t="s">
        <v>305</v>
      </c>
      <c r="J1363" s="5" t="s">
        <v>1480</v>
      </c>
      <c r="K1363" s="5" t="s">
        <v>0</v>
      </c>
    </row>
    <row r="1364" spans="2:11" ht="15.75" hidden="1" customHeight="1" x14ac:dyDescent="0.2">
      <c r="B1364" s="4" t="s">
        <v>1435</v>
      </c>
      <c r="C1364" s="6" t="s">
        <v>469</v>
      </c>
      <c r="D1364" s="4" t="s">
        <v>94</v>
      </c>
      <c r="E1364" s="5" t="s">
        <v>159</v>
      </c>
      <c r="F1364" s="4" t="s">
        <v>1479</v>
      </c>
      <c r="G1364" s="19" t="str">
        <f>HYPERLINK("https://www.indianholiday.com/fairs-and-festivals/rajasthan/camel-festival-bikaner.html","Travel Website")</f>
        <v>Travel Website</v>
      </c>
      <c r="H1364" s="6" t="s">
        <v>3</v>
      </c>
      <c r="I1364" s="5" t="s">
        <v>305</v>
      </c>
      <c r="J1364" s="5" t="s">
        <v>1455</v>
      </c>
      <c r="K1364" s="5" t="s">
        <v>840</v>
      </c>
    </row>
    <row r="1365" spans="2:11" ht="15.75" hidden="1" customHeight="1" x14ac:dyDescent="0.2">
      <c r="B1365" s="4" t="s">
        <v>1435</v>
      </c>
      <c r="C1365" s="4" t="s">
        <v>576</v>
      </c>
      <c r="D1365" s="4" t="s">
        <v>66</v>
      </c>
      <c r="E1365" s="5" t="s">
        <v>159</v>
      </c>
      <c r="F1365" s="4" t="s">
        <v>1478</v>
      </c>
      <c r="G1365" s="19" t="str">
        <f>HYPERLINK("https://www.facebook.com/photo.php?fbid=1403093599873005&amp;set=a.330154593833583&amp;type=3&amp;theater","Facebook")</f>
        <v>Facebook</v>
      </c>
      <c r="H1365" s="6" t="s">
        <v>11</v>
      </c>
      <c r="I1365" s="5" t="s">
        <v>305</v>
      </c>
      <c r="J1365" s="5" t="s">
        <v>1439</v>
      </c>
      <c r="K1365" s="5" t="s">
        <v>64</v>
      </c>
    </row>
    <row r="1366" spans="2:11" ht="15.75" hidden="1" customHeight="1" x14ac:dyDescent="0.2">
      <c r="B1366" s="4" t="s">
        <v>1435</v>
      </c>
      <c r="C1366" s="6"/>
      <c r="D1366" s="4" t="s">
        <v>66</v>
      </c>
      <c r="E1366" s="5" t="s">
        <v>159</v>
      </c>
      <c r="F1366" s="4" t="s">
        <v>1477</v>
      </c>
      <c r="G1366" s="19" t="s">
        <v>1467</v>
      </c>
      <c r="H1366" s="6" t="s">
        <v>11</v>
      </c>
      <c r="I1366" s="5" t="s">
        <v>305</v>
      </c>
      <c r="J1366" s="5" t="s">
        <v>1439</v>
      </c>
      <c r="K1366" s="5" t="s">
        <v>64</v>
      </c>
    </row>
    <row r="1367" spans="2:11" ht="15.75" hidden="1" customHeight="1" x14ac:dyDescent="0.2">
      <c r="B1367" s="4" t="s">
        <v>1435</v>
      </c>
      <c r="C1367" s="6" t="s">
        <v>104</v>
      </c>
      <c r="D1367" s="6" t="s">
        <v>18</v>
      </c>
      <c r="E1367" s="18" t="s">
        <v>23</v>
      </c>
      <c r="F1367" s="4" t="s">
        <v>1476</v>
      </c>
      <c r="G1367" s="19" t="str">
        <f>HYPERLINK("https://m.facebook.com/story.php?story_fbid=3664076830269455&amp;id=100000015219256","Facebook")</f>
        <v>Facebook</v>
      </c>
      <c r="H1367" s="6" t="s">
        <v>11</v>
      </c>
      <c r="I1367" s="5" t="s">
        <v>305</v>
      </c>
      <c r="J1367" s="5" t="s">
        <v>1431</v>
      </c>
      <c r="K1367" s="5" t="s">
        <v>57</v>
      </c>
    </row>
    <row r="1368" spans="2:11" ht="15.75" hidden="1" customHeight="1" x14ac:dyDescent="0.2">
      <c r="B1368" s="4" t="s">
        <v>1435</v>
      </c>
      <c r="C1368" s="4" t="s">
        <v>1475</v>
      </c>
      <c r="D1368" s="4" t="s">
        <v>71</v>
      </c>
      <c r="E1368" s="18" t="s">
        <v>23</v>
      </c>
      <c r="F1368" s="4" t="s">
        <v>1474</v>
      </c>
      <c r="G1368" s="19" t="s">
        <v>3</v>
      </c>
      <c r="H1368" s="6" t="s">
        <v>3</v>
      </c>
      <c r="I1368" s="5" t="s">
        <v>305</v>
      </c>
      <c r="J1368" s="5" t="s">
        <v>1455</v>
      </c>
      <c r="K1368" s="5" t="s">
        <v>0</v>
      </c>
    </row>
    <row r="1369" spans="2:11" ht="15.75" hidden="1" customHeight="1" x14ac:dyDescent="0.2">
      <c r="B1369" s="4" t="s">
        <v>1435</v>
      </c>
      <c r="C1369" s="4" t="s">
        <v>1473</v>
      </c>
      <c r="D1369" s="4" t="s">
        <v>94</v>
      </c>
      <c r="E1369" s="5" t="s">
        <v>159</v>
      </c>
      <c r="F1369" s="4" t="s">
        <v>1472</v>
      </c>
      <c r="G1369" s="19" t="str">
        <f>HYPERLINK("https://m.facebook.com/story.php?story_fbid=10220135325320831&amp;id=1456693436&amp;ref=content_filter","Facebook")</f>
        <v>Facebook</v>
      </c>
      <c r="H1369" s="6" t="s">
        <v>11</v>
      </c>
      <c r="I1369" s="5" t="s">
        <v>305</v>
      </c>
      <c r="J1369" s="5" t="s">
        <v>1436</v>
      </c>
      <c r="K1369" s="5" t="s">
        <v>840</v>
      </c>
    </row>
    <row r="1370" spans="2:11" ht="15.75" hidden="1" customHeight="1" x14ac:dyDescent="0.2">
      <c r="B1370" s="4" t="s">
        <v>1435</v>
      </c>
      <c r="C1370" s="4" t="s">
        <v>1471</v>
      </c>
      <c r="D1370" s="4" t="s">
        <v>42</v>
      </c>
      <c r="E1370" s="18" t="s">
        <v>23</v>
      </c>
      <c r="F1370" s="4" t="s">
        <v>1470</v>
      </c>
      <c r="G1370" s="19" t="str">
        <f>HYPERLINK("https://timesofindia.indiatimes.com/city/bareilly/three-red-sandboa-snakes-rescued-in-kheri/articleshow/74088808.cms","News")</f>
        <v>News</v>
      </c>
      <c r="H1370" s="6" t="s">
        <v>3</v>
      </c>
      <c r="I1370" s="5" t="s">
        <v>305</v>
      </c>
      <c r="J1370" s="5" t="s">
        <v>1441</v>
      </c>
      <c r="K1370" s="5" t="s">
        <v>1469</v>
      </c>
    </row>
    <row r="1371" spans="2:11" ht="15.75" hidden="1" customHeight="1" x14ac:dyDescent="0.2">
      <c r="B1371" s="4" t="s">
        <v>1435</v>
      </c>
      <c r="C1371" s="6"/>
      <c r="D1371" s="6"/>
      <c r="E1371" s="5" t="s">
        <v>159</v>
      </c>
      <c r="F1371" s="4" t="s">
        <v>1468</v>
      </c>
      <c r="G1371" s="19" t="s">
        <v>1467</v>
      </c>
      <c r="H1371" s="6" t="s">
        <v>11</v>
      </c>
      <c r="I1371" s="5" t="s">
        <v>305</v>
      </c>
      <c r="J1371" s="5" t="s">
        <v>1455</v>
      </c>
      <c r="K1371" s="5" t="s">
        <v>0</v>
      </c>
    </row>
    <row r="1372" spans="2:11" ht="15.75" hidden="1" customHeight="1" x14ac:dyDescent="0.2">
      <c r="B1372" s="4" t="s">
        <v>1435</v>
      </c>
      <c r="C1372" s="6"/>
      <c r="D1372" s="6"/>
      <c r="E1372" s="5" t="s">
        <v>5</v>
      </c>
      <c r="F1372" s="4" t="s">
        <v>1466</v>
      </c>
      <c r="G1372" s="19" t="str">
        <f>HYPERLINK("http://action.petaindia.com/ea-action/action?ea.client.id=111&amp;ea.campaign.id=2858","Peta India")</f>
        <v>Peta India</v>
      </c>
      <c r="H1372" s="6" t="s">
        <v>272</v>
      </c>
      <c r="I1372" s="5" t="s">
        <v>305</v>
      </c>
      <c r="J1372" s="5" t="s">
        <v>1431</v>
      </c>
      <c r="K1372" s="5" t="s">
        <v>840</v>
      </c>
    </row>
    <row r="1373" spans="2:11" ht="15.75" hidden="1" customHeight="1" x14ac:dyDescent="0.2">
      <c r="B1373" s="4" t="s">
        <v>1435</v>
      </c>
      <c r="C1373" s="4" t="s">
        <v>1465</v>
      </c>
      <c r="D1373" s="4" t="s">
        <v>94</v>
      </c>
      <c r="E1373" s="5" t="s">
        <v>159</v>
      </c>
      <c r="F1373" s="4" t="s">
        <v>1464</v>
      </c>
      <c r="G1373" s="19" t="str">
        <f>HYPERLINK("https://www.sotc.in/tourism/jaipur-tourism/jaipur-festival-events/donkey-festival/252","Travel wesbite")</f>
        <v>Travel wesbite</v>
      </c>
      <c r="H1373" s="6" t="s">
        <v>3</v>
      </c>
      <c r="I1373" s="5" t="s">
        <v>305</v>
      </c>
      <c r="J1373" s="5" t="s">
        <v>1455</v>
      </c>
      <c r="K1373" s="5" t="s">
        <v>639</v>
      </c>
    </row>
    <row r="1374" spans="2:11" ht="15.75" hidden="1" customHeight="1" x14ac:dyDescent="0.2">
      <c r="B1374" s="4" t="s">
        <v>1435</v>
      </c>
      <c r="C1374" s="4" t="s">
        <v>1463</v>
      </c>
      <c r="D1374" s="4" t="s">
        <v>18</v>
      </c>
      <c r="E1374" s="5" t="s">
        <v>5</v>
      </c>
      <c r="F1374" s="4" t="s">
        <v>1462</v>
      </c>
      <c r="G1374" s="19" t="str">
        <f>HYPERLINK("https://animalpetitions.org/243668/rescue-gajraj-the-elephant-from-alleged-torture-at-temple/?fbclid=IwAR1Qk2LrFC1uMnd_BmKq30vAwSaCUZMvzZzyYwGkwRXIvwi1QiRbw_503Bg","Online petition")</f>
        <v>Online petition</v>
      </c>
      <c r="H1374" s="6" t="s">
        <v>11</v>
      </c>
      <c r="I1374" s="5" t="s">
        <v>305</v>
      </c>
      <c r="J1374" s="5" t="s">
        <v>1439</v>
      </c>
      <c r="K1374" s="5" t="s">
        <v>64</v>
      </c>
    </row>
    <row r="1375" spans="2:11" ht="15.75" hidden="1" customHeight="1" x14ac:dyDescent="0.2">
      <c r="B1375" s="4" t="s">
        <v>1435</v>
      </c>
      <c r="C1375" s="6"/>
      <c r="D1375" s="6"/>
      <c r="E1375" s="5" t="s">
        <v>159</v>
      </c>
      <c r="F1375" s="4" t="s">
        <v>1461</v>
      </c>
      <c r="G1375" s="19" t="s">
        <v>1460</v>
      </c>
      <c r="H1375" s="6" t="s">
        <v>3</v>
      </c>
      <c r="I1375" s="5" t="s">
        <v>305</v>
      </c>
      <c r="J1375" s="5" t="s">
        <v>1431</v>
      </c>
      <c r="K1375" s="5" t="s">
        <v>1430</v>
      </c>
    </row>
    <row r="1376" spans="2:11" ht="15.75" hidden="1" customHeight="1" x14ac:dyDescent="0.2">
      <c r="B1376" s="4" t="s">
        <v>1435</v>
      </c>
      <c r="C1376" s="4" t="s">
        <v>1459</v>
      </c>
      <c r="D1376" s="4" t="s">
        <v>36</v>
      </c>
      <c r="E1376" s="5" t="s">
        <v>159</v>
      </c>
      <c r="F1376" s="4" t="s">
        <v>1458</v>
      </c>
      <c r="G1376" s="19" t="s">
        <v>329</v>
      </c>
      <c r="H1376" s="6" t="s">
        <v>272</v>
      </c>
      <c r="I1376" s="5" t="s">
        <v>305</v>
      </c>
      <c r="J1376" s="5" t="s">
        <v>1455</v>
      </c>
      <c r="K1376" s="5" t="s">
        <v>34</v>
      </c>
    </row>
    <row r="1377" spans="1:11" ht="15.75" hidden="1" customHeight="1" x14ac:dyDescent="0.2">
      <c r="B1377" s="4" t="s">
        <v>1435</v>
      </c>
      <c r="C1377" s="4" t="s">
        <v>1457</v>
      </c>
      <c r="D1377" s="4" t="s">
        <v>94</v>
      </c>
      <c r="E1377" s="5" t="s">
        <v>159</v>
      </c>
      <c r="F1377" s="4" t="s">
        <v>1456</v>
      </c>
      <c r="G1377" s="19" t="str">
        <f>HYPERLINK("https://www.thrillophilia.com/tours/experience-camel-race-rajasthan","Travel Website")</f>
        <v>Travel Website</v>
      </c>
      <c r="H1377" s="6" t="s">
        <v>3</v>
      </c>
      <c r="I1377" s="5" t="s">
        <v>305</v>
      </c>
      <c r="J1377" s="5" t="s">
        <v>1455</v>
      </c>
      <c r="K1377" s="5" t="s">
        <v>840</v>
      </c>
    </row>
    <row r="1378" spans="1:11" ht="15.75" hidden="1" customHeight="1" x14ac:dyDescent="0.2">
      <c r="B1378" s="4" t="s">
        <v>1435</v>
      </c>
      <c r="C1378" s="4" t="s">
        <v>1454</v>
      </c>
      <c r="D1378" s="4" t="s">
        <v>221</v>
      </c>
      <c r="E1378" s="5" t="s">
        <v>5</v>
      </c>
      <c r="F1378" s="4" t="s">
        <v>1453</v>
      </c>
      <c r="G1378" s="19" t="str">
        <f>HYPERLINK("https://www.change.org/p/smt-mehbooba-mufti-sayeed-please-stop-the-abuse-cruelty-to-horses-and-mules-at-vaishno-devi","Change.org")</f>
        <v>Change.org</v>
      </c>
      <c r="H1378" s="6" t="s">
        <v>11</v>
      </c>
      <c r="I1378" s="5" t="s">
        <v>305</v>
      </c>
      <c r="J1378" s="5" t="s">
        <v>1431</v>
      </c>
      <c r="K1378" s="5" t="s">
        <v>1452</v>
      </c>
    </row>
    <row r="1379" spans="1:11" ht="15.75" hidden="1" customHeight="1" x14ac:dyDescent="0.2">
      <c r="B1379" s="4" t="s">
        <v>1435</v>
      </c>
      <c r="C1379" s="4" t="s">
        <v>1451</v>
      </c>
      <c r="D1379" s="4" t="s">
        <v>59</v>
      </c>
      <c r="E1379" s="5" t="s">
        <v>159</v>
      </c>
      <c r="F1379" s="4" t="s">
        <v>1450</v>
      </c>
      <c r="G1379" s="19" t="str">
        <f>HYPERLINK("https://www.thebrooke.org/our-work/india/slate-mines-india","Brooke India")</f>
        <v>Brooke India</v>
      </c>
      <c r="H1379" s="6" t="s">
        <v>272</v>
      </c>
      <c r="I1379" s="5" t="s">
        <v>305</v>
      </c>
      <c r="J1379" s="5" t="s">
        <v>1431</v>
      </c>
      <c r="K1379" s="5" t="s">
        <v>1449</v>
      </c>
    </row>
    <row r="1380" spans="1:11" ht="15.75" hidden="1" customHeight="1" x14ac:dyDescent="0.2">
      <c r="B1380" s="4" t="s">
        <v>1435</v>
      </c>
      <c r="C1380" s="6"/>
      <c r="D1380" s="6"/>
      <c r="E1380" s="5" t="s">
        <v>159</v>
      </c>
      <c r="F1380" s="4" t="s">
        <v>1448</v>
      </c>
      <c r="G1380" s="19" t="s">
        <v>3</v>
      </c>
      <c r="H1380" s="6" t="s">
        <v>3</v>
      </c>
      <c r="I1380" s="5" t="s">
        <v>305</v>
      </c>
      <c r="J1380" s="5" t="s">
        <v>1431</v>
      </c>
      <c r="K1380" s="5" t="s">
        <v>432</v>
      </c>
    </row>
    <row r="1381" spans="1:11" ht="15.75" hidden="1" customHeight="1" x14ac:dyDescent="0.2">
      <c r="B1381" s="4" t="s">
        <v>1435</v>
      </c>
      <c r="C1381" s="4" t="s">
        <v>72</v>
      </c>
      <c r="D1381" s="4" t="s">
        <v>71</v>
      </c>
      <c r="E1381" s="5" t="s">
        <v>159</v>
      </c>
      <c r="F1381" s="4" t="s">
        <v>1447</v>
      </c>
      <c r="G1381" s="19" t="str">
        <f>HYPERLINK("https://www.thedonkeysanctuary.org.uk/what-we-do/issues/donkeys-in-industry","The Donkey Sanctuary")</f>
        <v>The Donkey Sanctuary</v>
      </c>
      <c r="H1381" s="6" t="s">
        <v>272</v>
      </c>
      <c r="I1381" s="5" t="s">
        <v>305</v>
      </c>
      <c r="J1381" s="5" t="s">
        <v>1431</v>
      </c>
      <c r="K1381" s="5" t="s">
        <v>639</v>
      </c>
    </row>
    <row r="1382" spans="1:11" ht="15.75" hidden="1" customHeight="1" x14ac:dyDescent="0.2">
      <c r="B1382" s="4" t="s">
        <v>1435</v>
      </c>
      <c r="C1382" s="4" t="s">
        <v>1363</v>
      </c>
      <c r="D1382" s="4" t="s">
        <v>66</v>
      </c>
      <c r="E1382" s="5" t="s">
        <v>5</v>
      </c>
      <c r="F1382" s="4" t="s">
        <v>1446</v>
      </c>
      <c r="G1382" s="19" t="str">
        <f>HYPERLINK("https://www.petaindia.com/features/cruelty-to-elephants-during-thrissur-pooram/","PETA India")</f>
        <v>PETA India</v>
      </c>
      <c r="H1382" s="6" t="s">
        <v>272</v>
      </c>
      <c r="I1382" s="5" t="s">
        <v>305</v>
      </c>
      <c r="J1382" s="5" t="s">
        <v>1439</v>
      </c>
      <c r="K1382" s="5" t="s">
        <v>64</v>
      </c>
    </row>
    <row r="1383" spans="1:11" ht="15.75" hidden="1" customHeight="1" x14ac:dyDescent="0.2">
      <c r="B1383" s="4" t="s">
        <v>1435</v>
      </c>
      <c r="C1383" s="6"/>
      <c r="D1383" s="6"/>
      <c r="E1383" s="5" t="s">
        <v>5</v>
      </c>
      <c r="F1383" s="4" t="s">
        <v>1444</v>
      </c>
      <c r="G1383" s="19" t="str">
        <f>HYPERLINK("https://www.petaindia.com/issues/animals-in-entertainment/whats-wrong-with-forcing-animals-to-perform-in-shows/","Peta India")</f>
        <v>Peta India</v>
      </c>
      <c r="H1383" s="6" t="s">
        <v>272</v>
      </c>
      <c r="I1383" s="5" t="s">
        <v>305</v>
      </c>
      <c r="J1383" s="5" t="s">
        <v>1439</v>
      </c>
      <c r="K1383" s="5" t="s">
        <v>509</v>
      </c>
    </row>
    <row r="1384" spans="1:11" ht="15.75" hidden="1" customHeight="1" x14ac:dyDescent="0.2">
      <c r="B1384" s="4" t="s">
        <v>1435</v>
      </c>
      <c r="C1384" s="4" t="s">
        <v>1443</v>
      </c>
      <c r="D1384" s="4" t="s">
        <v>42</v>
      </c>
      <c r="E1384" s="5" t="s">
        <v>5</v>
      </c>
      <c r="F1384" s="4" t="s">
        <v>1442</v>
      </c>
      <c r="G1384" s="19" t="str">
        <f>HYPERLINK("https://www.thedonkeysanctuary.org.uk/what-we-do/issues/donkeys-and-livelihoods/barabanki-equine-fair","The Donkey Sanctuary")</f>
        <v>The Donkey Sanctuary</v>
      </c>
      <c r="H1384" s="6" t="s">
        <v>272</v>
      </c>
      <c r="I1384" s="5" t="s">
        <v>305</v>
      </c>
      <c r="J1384" s="5" t="s">
        <v>1441</v>
      </c>
      <c r="K1384" s="5" t="s">
        <v>639</v>
      </c>
    </row>
    <row r="1385" spans="1:11" ht="15.75" hidden="1" customHeight="1" x14ac:dyDescent="0.2">
      <c r="B1385" s="4" t="s">
        <v>1435</v>
      </c>
      <c r="C1385" s="6"/>
      <c r="D1385" s="6"/>
      <c r="E1385" s="5" t="s">
        <v>5</v>
      </c>
      <c r="F1385" s="4" t="s">
        <v>1440</v>
      </c>
      <c r="G1385" s="19" t="str">
        <f>HYPERLINK("https://www.change.org/p/mr-hem-kumar-pande-mr-nilaya-mitash-we-ask-the-indian-government-to-end-this-cruel-and-barbaric-practice","Change.org")</f>
        <v>Change.org</v>
      </c>
      <c r="H1385" s="6" t="s">
        <v>11</v>
      </c>
      <c r="I1385" s="5" t="s">
        <v>305</v>
      </c>
      <c r="J1385" s="5" t="s">
        <v>1439</v>
      </c>
      <c r="K1385" s="5" t="s">
        <v>879</v>
      </c>
    </row>
    <row r="1386" spans="1:11" ht="15.75" hidden="1" customHeight="1" x14ac:dyDescent="0.2">
      <c r="B1386" s="4" t="s">
        <v>1435</v>
      </c>
      <c r="C1386" s="6"/>
      <c r="D1386" s="6"/>
      <c r="E1386" s="5" t="s">
        <v>5</v>
      </c>
      <c r="F1386" s="4" t="s">
        <v>1438</v>
      </c>
      <c r="G1386" s="19" t="s">
        <v>1437</v>
      </c>
      <c r="H1386" s="6" t="s">
        <v>272</v>
      </c>
      <c r="I1386" s="5" t="s">
        <v>305</v>
      </c>
      <c r="J1386" s="5" t="s">
        <v>1436</v>
      </c>
      <c r="K1386" s="5" t="s">
        <v>204</v>
      </c>
    </row>
    <row r="1387" spans="1:11" ht="15.75" hidden="1" customHeight="1" x14ac:dyDescent="0.2">
      <c r="B1387" s="4" t="s">
        <v>1435</v>
      </c>
      <c r="C1387" s="4" t="s">
        <v>1434</v>
      </c>
      <c r="D1387" s="4" t="s">
        <v>94</v>
      </c>
      <c r="E1387" s="5" t="s">
        <v>55</v>
      </c>
      <c r="F1387" s="4" t="s">
        <v>1433</v>
      </c>
      <c r="G1387" s="19" t="s">
        <v>1432</v>
      </c>
      <c r="H1387" s="6" t="s">
        <v>272</v>
      </c>
      <c r="I1387" s="5" t="s">
        <v>305</v>
      </c>
      <c r="J1387" s="5" t="s">
        <v>1431</v>
      </c>
      <c r="K1387" s="5" t="s">
        <v>1430</v>
      </c>
    </row>
    <row r="1388" spans="1:11" ht="15.75" customHeight="1" x14ac:dyDescent="0.2">
      <c r="A1388" s="1">
        <v>1</v>
      </c>
      <c r="B1388" s="4" t="s">
        <v>8</v>
      </c>
      <c r="C1388" s="4" t="s">
        <v>1115</v>
      </c>
      <c r="D1388" s="4" t="s">
        <v>88</v>
      </c>
      <c r="E1388" s="4" t="s">
        <v>159</v>
      </c>
      <c r="F1388" s="4" t="s">
        <v>1429</v>
      </c>
      <c r="G1388" s="7" t="s">
        <v>3</v>
      </c>
      <c r="H1388" s="6" t="s">
        <v>3</v>
      </c>
      <c r="I1388" s="4" t="s">
        <v>21</v>
      </c>
      <c r="J1388" s="4" t="s">
        <v>15</v>
      </c>
      <c r="K1388" s="4" t="s">
        <v>64</v>
      </c>
    </row>
    <row r="1389" spans="1:11" ht="15.75" customHeight="1" x14ac:dyDescent="0.2">
      <c r="A1389" s="1">
        <v>2</v>
      </c>
      <c r="B1389" s="4" t="s">
        <v>8</v>
      </c>
      <c r="C1389" s="4" t="s">
        <v>1428</v>
      </c>
      <c r="D1389" s="4" t="s">
        <v>18</v>
      </c>
      <c r="E1389" s="4" t="s">
        <v>81</v>
      </c>
      <c r="F1389" s="4" t="s">
        <v>1427</v>
      </c>
      <c r="G1389" s="7" t="s">
        <v>3</v>
      </c>
      <c r="H1389" s="6" t="s">
        <v>3</v>
      </c>
      <c r="I1389" s="4" t="s">
        <v>10</v>
      </c>
      <c r="J1389" s="4" t="s">
        <v>82</v>
      </c>
      <c r="K1389" s="4" t="s">
        <v>0</v>
      </c>
    </row>
    <row r="1390" spans="1:11" ht="15.75" customHeight="1" x14ac:dyDescent="0.2">
      <c r="A1390" s="1">
        <v>3</v>
      </c>
      <c r="B1390" s="4" t="s">
        <v>8</v>
      </c>
      <c r="C1390" s="4" t="s">
        <v>104</v>
      </c>
      <c r="D1390" s="4" t="s">
        <v>18</v>
      </c>
      <c r="E1390" s="4" t="s">
        <v>27</v>
      </c>
      <c r="F1390" s="4" t="s">
        <v>1426</v>
      </c>
      <c r="G1390" s="7" t="str">
        <f>HYPERLINK("https://timesofindia.indiatimes.com/city/mumbai/Female-Street-Babli-bashed-by-drunk-dies-painfully/articleshow/7937963.cms","News")</f>
        <v>News</v>
      </c>
      <c r="H1390" s="6" t="s">
        <v>3</v>
      </c>
      <c r="I1390" s="4" t="s">
        <v>10</v>
      </c>
      <c r="J1390" s="4" t="s">
        <v>20</v>
      </c>
      <c r="K1390" s="4" t="s">
        <v>0</v>
      </c>
    </row>
    <row r="1391" spans="1:11" ht="15.75" hidden="1" customHeight="1" x14ac:dyDescent="0.2">
      <c r="B1391" s="4" t="s">
        <v>8</v>
      </c>
      <c r="C1391" s="4" t="s">
        <v>150</v>
      </c>
      <c r="D1391" s="4" t="s">
        <v>150</v>
      </c>
      <c r="E1391" s="4" t="s">
        <v>5</v>
      </c>
      <c r="F1391" s="4" t="s">
        <v>1425</v>
      </c>
      <c r="G1391" s="4" t="s">
        <v>177</v>
      </c>
      <c r="H1391" s="6" t="s">
        <v>272</v>
      </c>
      <c r="I1391" s="4" t="s">
        <v>10</v>
      </c>
      <c r="J1391" s="4" t="s">
        <v>20</v>
      </c>
      <c r="K1391" s="4" t="s">
        <v>0</v>
      </c>
    </row>
    <row r="1392" spans="1:11" ht="15.75" hidden="1" customHeight="1" x14ac:dyDescent="0.2">
      <c r="B1392" s="4" t="s">
        <v>8</v>
      </c>
      <c r="C1392" s="4" t="s">
        <v>426</v>
      </c>
      <c r="D1392" s="4" t="s">
        <v>426</v>
      </c>
      <c r="E1392" s="4" t="s">
        <v>5</v>
      </c>
      <c r="F1392" s="4" t="s">
        <v>1424</v>
      </c>
      <c r="G1392" s="4" t="s">
        <v>177</v>
      </c>
      <c r="H1392" s="6" t="s">
        <v>272</v>
      </c>
      <c r="I1392" s="4" t="s">
        <v>21</v>
      </c>
      <c r="J1392" s="4" t="s">
        <v>1423</v>
      </c>
      <c r="K1392" s="4" t="s">
        <v>45</v>
      </c>
    </row>
    <row r="1393" spans="1:11" ht="15.75" hidden="1" customHeight="1" x14ac:dyDescent="0.2">
      <c r="B1393" s="4" t="s">
        <v>8</v>
      </c>
      <c r="C1393" s="4" t="s">
        <v>137</v>
      </c>
      <c r="D1393" s="4" t="s">
        <v>71</v>
      </c>
      <c r="E1393" s="4" t="s">
        <v>5</v>
      </c>
      <c r="F1393" s="4" t="s">
        <v>1422</v>
      </c>
      <c r="G1393" s="4" t="s">
        <v>177</v>
      </c>
      <c r="H1393" s="6" t="s">
        <v>272</v>
      </c>
      <c r="I1393" s="4" t="s">
        <v>10</v>
      </c>
      <c r="J1393" s="4" t="s">
        <v>20</v>
      </c>
      <c r="K1393" s="4" t="s">
        <v>0</v>
      </c>
    </row>
    <row r="1394" spans="1:11" ht="15.75" hidden="1" customHeight="1" x14ac:dyDescent="0.2">
      <c r="B1394" s="4" t="s">
        <v>8</v>
      </c>
      <c r="C1394" s="4" t="s">
        <v>150</v>
      </c>
      <c r="D1394" s="4" t="s">
        <v>150</v>
      </c>
      <c r="E1394" s="4" t="s">
        <v>5</v>
      </c>
      <c r="F1394" s="4" t="s">
        <v>1421</v>
      </c>
      <c r="G1394" s="4" t="s">
        <v>177</v>
      </c>
      <c r="H1394" s="6" t="s">
        <v>272</v>
      </c>
      <c r="I1394" s="4" t="s">
        <v>10</v>
      </c>
      <c r="J1394" s="4" t="s">
        <v>9</v>
      </c>
      <c r="K1394" s="4" t="s">
        <v>0</v>
      </c>
    </row>
    <row r="1395" spans="1:11" ht="15.75" hidden="1" customHeight="1" x14ac:dyDescent="0.2">
      <c r="B1395" s="4" t="s">
        <v>8</v>
      </c>
      <c r="C1395" s="4" t="s">
        <v>104</v>
      </c>
      <c r="D1395" s="4" t="s">
        <v>18</v>
      </c>
      <c r="E1395" s="4" t="s">
        <v>27</v>
      </c>
      <c r="F1395" s="4" t="s">
        <v>1420</v>
      </c>
      <c r="G1395" s="7" t="str">
        <f>HYPERLINK("https://www.facebook.com/pg/amtmindia/photos/?tab=album&amp;album_id=271713432840810","Social media")</f>
        <v>Social media</v>
      </c>
      <c r="H1395" s="6" t="s">
        <v>11</v>
      </c>
      <c r="I1395" s="4" t="s">
        <v>10</v>
      </c>
      <c r="J1395" s="4" t="s">
        <v>20</v>
      </c>
      <c r="K1395" s="4" t="s">
        <v>0</v>
      </c>
    </row>
    <row r="1396" spans="1:11" ht="15.75" hidden="1" customHeight="1" x14ac:dyDescent="0.2">
      <c r="B1396" s="4" t="s">
        <v>8</v>
      </c>
      <c r="C1396" s="4" t="s">
        <v>104</v>
      </c>
      <c r="D1396" s="4" t="s">
        <v>18</v>
      </c>
      <c r="E1396" s="4" t="s">
        <v>23</v>
      </c>
      <c r="F1396" s="4" t="s">
        <v>1419</v>
      </c>
      <c r="G1396" s="7" t="s">
        <v>11</v>
      </c>
      <c r="H1396" s="6" t="s">
        <v>11</v>
      </c>
      <c r="I1396" s="4" t="s">
        <v>10</v>
      </c>
      <c r="J1396" s="4" t="s">
        <v>20</v>
      </c>
      <c r="K1396" s="4" t="s">
        <v>0</v>
      </c>
    </row>
    <row r="1397" spans="1:11" ht="15.75" hidden="1" customHeight="1" x14ac:dyDescent="0.2">
      <c r="B1397" s="4" t="s">
        <v>8</v>
      </c>
      <c r="C1397" s="4" t="s">
        <v>1418</v>
      </c>
      <c r="D1397" s="4" t="s">
        <v>877</v>
      </c>
      <c r="E1397" s="4" t="s">
        <v>5</v>
      </c>
      <c r="F1397" s="4" t="s">
        <v>1417</v>
      </c>
      <c r="G1397" s="7" t="str">
        <f>HYPERLINK("https://www.facebook.com/hopeandanimal/posts/194557210620450","Social media")</f>
        <v>Social media</v>
      </c>
      <c r="H1397" s="6" t="s">
        <v>11</v>
      </c>
      <c r="I1397" s="4" t="s">
        <v>197</v>
      </c>
      <c r="J1397" s="4" t="s">
        <v>157</v>
      </c>
      <c r="K1397" s="4" t="s">
        <v>446</v>
      </c>
    </row>
    <row r="1398" spans="1:11" ht="15.75" hidden="1" customHeight="1" x14ac:dyDescent="0.2">
      <c r="B1398" s="4" t="s">
        <v>8</v>
      </c>
      <c r="C1398" s="4" t="s">
        <v>382</v>
      </c>
      <c r="D1398" s="4" t="s">
        <v>77</v>
      </c>
      <c r="E1398" s="4" t="s">
        <v>23</v>
      </c>
      <c r="F1398" s="4" t="s">
        <v>1416</v>
      </c>
      <c r="G1398" s="7" t="str">
        <f>HYPERLINK("https://drive.google.com/file/d/0BzAMn08dit28QVJ5M1IzLTA2NjA/view","VoSD Report")</f>
        <v>VoSD Report</v>
      </c>
      <c r="H1398" s="6" t="s">
        <v>272</v>
      </c>
      <c r="I1398" s="4" t="s">
        <v>109</v>
      </c>
      <c r="J1398" s="4" t="s">
        <v>82</v>
      </c>
      <c r="K1398" s="4" t="s">
        <v>108</v>
      </c>
    </row>
    <row r="1399" spans="1:11" ht="15.75" customHeight="1" x14ac:dyDescent="0.2">
      <c r="A1399" s="1">
        <v>4</v>
      </c>
      <c r="B1399" s="4" t="s">
        <v>8</v>
      </c>
      <c r="C1399" s="4" t="s">
        <v>426</v>
      </c>
      <c r="D1399" s="4"/>
      <c r="E1399" s="4" t="s">
        <v>23</v>
      </c>
      <c r="F1399" s="4" t="s">
        <v>1415</v>
      </c>
      <c r="G1399" s="7" t="str">
        <f>HYPERLINK("http://archive.indianexpress.com/news/spca-reports-alleged-beastiality-with-dogs/885772/","News")</f>
        <v>News</v>
      </c>
      <c r="H1399" s="6" t="s">
        <v>3</v>
      </c>
      <c r="I1399" s="4" t="s">
        <v>10</v>
      </c>
      <c r="J1399" s="4" t="s">
        <v>82</v>
      </c>
      <c r="K1399" s="4" t="s">
        <v>0</v>
      </c>
    </row>
    <row r="1400" spans="1:11" ht="15.75" customHeight="1" x14ac:dyDescent="0.2">
      <c r="A1400" s="1">
        <v>5</v>
      </c>
      <c r="B1400" s="4" t="s">
        <v>8</v>
      </c>
      <c r="C1400" s="4" t="s">
        <v>1328</v>
      </c>
      <c r="D1400" s="4" t="s">
        <v>88</v>
      </c>
      <c r="E1400" s="4" t="s">
        <v>5</v>
      </c>
      <c r="F1400" s="4" t="s">
        <v>1414</v>
      </c>
      <c r="G1400" s="7" t="s">
        <v>3</v>
      </c>
      <c r="H1400" s="6" t="s">
        <v>3</v>
      </c>
      <c r="I1400" s="4" t="s">
        <v>86</v>
      </c>
      <c r="J1400" s="4" t="s">
        <v>20</v>
      </c>
      <c r="K1400" s="4" t="s">
        <v>359</v>
      </c>
    </row>
    <row r="1401" spans="1:11" ht="15.75" hidden="1" customHeight="1" x14ac:dyDescent="0.2">
      <c r="B1401" s="4" t="s">
        <v>8</v>
      </c>
      <c r="C1401" s="4" t="s">
        <v>507</v>
      </c>
      <c r="D1401" s="4" t="s">
        <v>150</v>
      </c>
      <c r="E1401" s="4" t="s">
        <v>27</v>
      </c>
      <c r="F1401" s="4" t="s">
        <v>1413</v>
      </c>
      <c r="G1401" s="7" t="str">
        <f>HYPERLINK("https://www.facebook.com/groups/indiaanimalforum/permalink/234037820011804/","Social media")</f>
        <v>Social media</v>
      </c>
      <c r="H1401" s="6" t="s">
        <v>11</v>
      </c>
      <c r="I1401" s="4" t="s">
        <v>10</v>
      </c>
      <c r="J1401" s="4" t="s">
        <v>82</v>
      </c>
      <c r="K1401" s="4" t="s">
        <v>0</v>
      </c>
    </row>
    <row r="1402" spans="1:11" ht="15.75" hidden="1" customHeight="1" x14ac:dyDescent="0.2">
      <c r="B1402" s="4" t="s">
        <v>8</v>
      </c>
      <c r="C1402" s="4" t="s">
        <v>1412</v>
      </c>
      <c r="D1402" s="4" t="s">
        <v>66</v>
      </c>
      <c r="E1402" s="4" t="s">
        <v>23</v>
      </c>
      <c r="F1402" s="4" t="s">
        <v>1411</v>
      </c>
      <c r="G1402" s="7" t="str">
        <f>HYPERLINK("https://www.facebook.com/groups/indiaanimalforum/permalink/246671578748428/","Social Media")</f>
        <v>Social Media</v>
      </c>
      <c r="H1402" s="6" t="s">
        <v>11</v>
      </c>
      <c r="I1402" s="4" t="s">
        <v>10</v>
      </c>
      <c r="J1402" s="4" t="s">
        <v>82</v>
      </c>
      <c r="K1402" s="4" t="s">
        <v>0</v>
      </c>
    </row>
    <row r="1403" spans="1:11" ht="15.75" customHeight="1" x14ac:dyDescent="0.2">
      <c r="A1403" s="1">
        <v>6</v>
      </c>
      <c r="B1403" s="4" t="s">
        <v>8</v>
      </c>
      <c r="C1403" s="4" t="s">
        <v>130</v>
      </c>
      <c r="D1403" s="4" t="s">
        <v>77</v>
      </c>
      <c r="E1403" s="4" t="s">
        <v>81</v>
      </c>
      <c r="F1403" s="4" t="s">
        <v>1410</v>
      </c>
      <c r="G1403" s="7" t="str">
        <f>HYPERLINK("https://timesofindia.indiatimes.com/city/chennai/Man-accused-of-bestiality-missing-trial-yet-to-begin/articleshow/19470183.cms","News")</f>
        <v>News</v>
      </c>
      <c r="H1403" s="6" t="s">
        <v>3</v>
      </c>
      <c r="I1403" s="4" t="s">
        <v>10</v>
      </c>
      <c r="J1403" s="4" t="s">
        <v>82</v>
      </c>
      <c r="K1403" s="4" t="s">
        <v>0</v>
      </c>
    </row>
    <row r="1404" spans="1:11" ht="15.75" hidden="1" customHeight="1" x14ac:dyDescent="0.2">
      <c r="B1404" s="4" t="s">
        <v>8</v>
      </c>
      <c r="C1404" s="4" t="s">
        <v>72</v>
      </c>
      <c r="D1404" s="4" t="s">
        <v>71</v>
      </c>
      <c r="E1404" s="4" t="s">
        <v>17</v>
      </c>
      <c r="F1404" s="4" t="s">
        <v>1409</v>
      </c>
      <c r="G1404" s="7" t="str">
        <f>HYPERLINK("https://www.facebook.com/groups/indiaanimalforum/permalink/263998037015782/","Social Media")</f>
        <v>Social Media</v>
      </c>
      <c r="H1404" s="6" t="s">
        <v>11</v>
      </c>
      <c r="I1404" s="4" t="s">
        <v>10</v>
      </c>
      <c r="J1404" s="4" t="s">
        <v>82</v>
      </c>
      <c r="K1404" s="4" t="s">
        <v>0</v>
      </c>
    </row>
    <row r="1405" spans="1:11" ht="15.75" hidden="1" customHeight="1" x14ac:dyDescent="0.2">
      <c r="B1405" s="4" t="s">
        <v>8</v>
      </c>
      <c r="C1405" s="4" t="s">
        <v>155</v>
      </c>
      <c r="D1405" s="4" t="s">
        <v>154</v>
      </c>
      <c r="E1405" s="4" t="s">
        <v>81</v>
      </c>
      <c r="F1405" s="4" t="s">
        <v>1408</v>
      </c>
      <c r="G1405" s="7" t="str">
        <f>HYPERLINK("https://www.facebook.com/groups/indiaanimalforum/permalink/285738951508357/","Social Media")</f>
        <v>Social Media</v>
      </c>
      <c r="H1405" s="6" t="s">
        <v>11</v>
      </c>
      <c r="I1405" s="4" t="s">
        <v>109</v>
      </c>
      <c r="J1405" s="4" t="s">
        <v>82</v>
      </c>
      <c r="K1405" s="4" t="s">
        <v>108</v>
      </c>
    </row>
    <row r="1406" spans="1:11" ht="15.75" customHeight="1" x14ac:dyDescent="0.2">
      <c r="A1406" s="1">
        <v>7</v>
      </c>
      <c r="B1406" s="4" t="s">
        <v>8</v>
      </c>
      <c r="C1406" s="4" t="s">
        <v>1407</v>
      </c>
      <c r="D1406" s="4" t="s">
        <v>94</v>
      </c>
      <c r="E1406" s="4" t="s">
        <v>81</v>
      </c>
      <c r="F1406" s="4" t="s">
        <v>1406</v>
      </c>
      <c r="G1406" s="7" t="str">
        <f>HYPERLINK("https://daily.bhaskar.com/news/RAJ-JPR-man-gets-5-years-for-%E2%80%98raping-buffalo-3786104-NOR.html","News")</f>
        <v>News</v>
      </c>
      <c r="H1406" s="6" t="s">
        <v>3</v>
      </c>
      <c r="I1406" s="4" t="s">
        <v>109</v>
      </c>
      <c r="J1406" s="4" t="s">
        <v>82</v>
      </c>
      <c r="K1406" s="4" t="s">
        <v>367</v>
      </c>
    </row>
    <row r="1407" spans="1:11" ht="15.75" hidden="1" customHeight="1" x14ac:dyDescent="0.2">
      <c r="B1407" s="4" t="s">
        <v>8</v>
      </c>
      <c r="C1407" s="4" t="s">
        <v>228</v>
      </c>
      <c r="D1407" s="4" t="s">
        <v>36</v>
      </c>
      <c r="E1407" s="4" t="s">
        <v>5</v>
      </c>
      <c r="F1407" s="4" t="s">
        <v>1405</v>
      </c>
      <c r="G1407" s="4" t="s">
        <v>944</v>
      </c>
      <c r="H1407" s="6" t="s">
        <v>272</v>
      </c>
      <c r="I1407" s="4" t="s">
        <v>10</v>
      </c>
      <c r="J1407" s="4" t="s">
        <v>9</v>
      </c>
      <c r="K1407" s="4" t="s">
        <v>639</v>
      </c>
    </row>
    <row r="1408" spans="1:11" ht="15.75" customHeight="1" x14ac:dyDescent="0.2">
      <c r="A1408" s="1">
        <v>8</v>
      </c>
      <c r="B1408" s="4" t="s">
        <v>8</v>
      </c>
      <c r="C1408" s="4" t="s">
        <v>1404</v>
      </c>
      <c r="D1408" s="4" t="s">
        <v>221</v>
      </c>
      <c r="E1408" s="4" t="s">
        <v>23</v>
      </c>
      <c r="F1408" s="4" t="s">
        <v>1403</v>
      </c>
      <c r="G1408" s="7" t="s">
        <v>3</v>
      </c>
      <c r="H1408" s="6" t="s">
        <v>3</v>
      </c>
      <c r="I1408" s="4" t="s">
        <v>21</v>
      </c>
      <c r="J1408" s="4" t="s">
        <v>15</v>
      </c>
      <c r="K1408" s="4" t="s">
        <v>1402</v>
      </c>
    </row>
    <row r="1409" spans="1:11" ht="15.75" hidden="1" customHeight="1" x14ac:dyDescent="0.2">
      <c r="B1409" s="4" t="s">
        <v>8</v>
      </c>
      <c r="C1409" s="4" t="s">
        <v>507</v>
      </c>
      <c r="D1409" s="4" t="s">
        <v>150</v>
      </c>
      <c r="E1409" s="4" t="s">
        <v>17</v>
      </c>
      <c r="F1409" s="4" t="s">
        <v>1401</v>
      </c>
      <c r="G1409" s="7" t="str">
        <f>HYPERLINK("https://www.facebook.com/groups/indiaanimalforum/permalink/432886510126933/","Social Media")</f>
        <v>Social Media</v>
      </c>
      <c r="H1409" s="6" t="s">
        <v>11</v>
      </c>
      <c r="I1409" s="4" t="s">
        <v>10</v>
      </c>
      <c r="J1409" s="4" t="s">
        <v>82</v>
      </c>
      <c r="K1409" s="4" t="s">
        <v>0</v>
      </c>
    </row>
    <row r="1410" spans="1:11" ht="15.75" customHeight="1" x14ac:dyDescent="0.2">
      <c r="A1410" s="1">
        <v>9</v>
      </c>
      <c r="B1410" s="4" t="s">
        <v>8</v>
      </c>
      <c r="C1410" s="4" t="s">
        <v>594</v>
      </c>
      <c r="D1410" s="4" t="s">
        <v>66</v>
      </c>
      <c r="E1410" s="4" t="s">
        <v>27</v>
      </c>
      <c r="F1410" s="4" t="s">
        <v>1400</v>
      </c>
      <c r="G1410" s="7" t="str">
        <f>HYPERLINK("https://timesofindia.indiatimes.com/city/thiruvananthapuram/Mahout-held-for-alleged-bestiality-bid-in-Kollam/articleshow/46581481.cms","News")</f>
        <v>News</v>
      </c>
      <c r="H1410" s="6" t="s">
        <v>3</v>
      </c>
      <c r="I1410" s="4" t="s">
        <v>10</v>
      </c>
      <c r="J1410" s="4" t="s">
        <v>82</v>
      </c>
      <c r="K1410" s="4" t="s">
        <v>57</v>
      </c>
    </row>
    <row r="1411" spans="1:11" ht="15.75" customHeight="1" x14ac:dyDescent="0.2">
      <c r="A1411" s="1">
        <v>10</v>
      </c>
      <c r="B1411" s="4" t="s">
        <v>8</v>
      </c>
      <c r="C1411" s="4" t="s">
        <v>1399</v>
      </c>
      <c r="D1411" s="4" t="s">
        <v>18</v>
      </c>
      <c r="E1411" s="4" t="s">
        <v>81</v>
      </c>
      <c r="F1411" s="4" t="s">
        <v>1398</v>
      </c>
      <c r="G1411" s="7" t="str">
        <f>HYPERLINK("https://timesofindia.indiatimes.com/city/nagpur/Man-booked-for-bestiality/articleshow/19551117.cms","News")</f>
        <v>News</v>
      </c>
      <c r="H1411" s="6" t="s">
        <v>3</v>
      </c>
      <c r="I1411" s="4" t="s">
        <v>109</v>
      </c>
      <c r="J1411" s="4" t="s">
        <v>82</v>
      </c>
      <c r="K1411" s="4" t="s">
        <v>367</v>
      </c>
    </row>
    <row r="1412" spans="1:11" ht="15.75" customHeight="1" x14ac:dyDescent="0.2">
      <c r="A1412" s="1">
        <v>11</v>
      </c>
      <c r="B1412" s="4" t="s">
        <v>8</v>
      </c>
      <c r="C1412" s="4" t="s">
        <v>104</v>
      </c>
      <c r="D1412" s="4" t="s">
        <v>18</v>
      </c>
      <c r="E1412" s="4" t="s">
        <v>27</v>
      </c>
      <c r="F1412" s="4" t="s">
        <v>1397</v>
      </c>
      <c r="G1412" s="7" t="str">
        <f>HYPERLINK("http://archive.indianexpress.com/news/-irritated--by-its-constant-barking-three-kill-Street-dog/1121054/","News")</f>
        <v>News</v>
      </c>
      <c r="H1412" s="6" t="s">
        <v>3</v>
      </c>
      <c r="I1412" s="4" t="s">
        <v>10</v>
      </c>
      <c r="J1412" s="4" t="s">
        <v>20</v>
      </c>
      <c r="K1412" s="4" t="s">
        <v>0</v>
      </c>
    </row>
    <row r="1413" spans="1:11" ht="15.75" hidden="1" customHeight="1" x14ac:dyDescent="0.2">
      <c r="B1413" s="4" t="s">
        <v>8</v>
      </c>
      <c r="C1413" s="4" t="s">
        <v>382</v>
      </c>
      <c r="D1413" s="4" t="s">
        <v>77</v>
      </c>
      <c r="E1413" s="4" t="s">
        <v>5</v>
      </c>
      <c r="F1413" s="4" t="s">
        <v>1396</v>
      </c>
      <c r="G1413" s="7" t="str">
        <f>HYPERLINK("https://www.facebook.com/groups/has.cbe/permalink/10151603544762421/","Social media")</f>
        <v>Social media</v>
      </c>
      <c r="H1413" s="6" t="s">
        <v>11</v>
      </c>
      <c r="I1413" s="4" t="s">
        <v>10</v>
      </c>
      <c r="J1413" s="4" t="s">
        <v>15</v>
      </c>
      <c r="K1413" s="4" t="s">
        <v>0</v>
      </c>
    </row>
    <row r="1414" spans="1:11" ht="15.75" customHeight="1" x14ac:dyDescent="0.2">
      <c r="A1414" s="1">
        <v>12</v>
      </c>
      <c r="B1414" s="4" t="s">
        <v>8</v>
      </c>
      <c r="C1414" s="4" t="s">
        <v>1395</v>
      </c>
      <c r="D1414" s="4" t="s">
        <v>210</v>
      </c>
      <c r="E1414" s="4" t="s">
        <v>81</v>
      </c>
      <c r="F1414" s="4" t="s">
        <v>1394</v>
      </c>
      <c r="G1414" s="7" t="str">
        <f>HYPERLINK("https://timesofindia.indiatimes.com/city/indore/Man-booked-for-bestiality-in-Indore/articleshow/20825915.cms","News")</f>
        <v>News</v>
      </c>
      <c r="H1414" s="6" t="s">
        <v>3</v>
      </c>
      <c r="I1414" s="4" t="s">
        <v>109</v>
      </c>
      <c r="J1414" s="4" t="s">
        <v>82</v>
      </c>
      <c r="K1414" s="4" t="s">
        <v>57</v>
      </c>
    </row>
    <row r="1415" spans="1:11" ht="15.75" hidden="1" customHeight="1" x14ac:dyDescent="0.2">
      <c r="B1415" s="4" t="s">
        <v>8</v>
      </c>
      <c r="C1415" s="4" t="s">
        <v>104</v>
      </c>
      <c r="D1415" s="4" t="s">
        <v>18</v>
      </c>
      <c r="E1415" s="4" t="s">
        <v>159</v>
      </c>
      <c r="F1415" s="4" t="s">
        <v>1393</v>
      </c>
      <c r="G1415" s="7" t="str">
        <f>HYPERLINK("https://www.facebook.com/amtmindia/photos/a.130938910251597/630844856927664/?type=3","Social media")</f>
        <v>Social media</v>
      </c>
      <c r="H1415" s="6" t="s">
        <v>11</v>
      </c>
      <c r="I1415" s="4" t="s">
        <v>10</v>
      </c>
      <c r="J1415" s="4" t="s">
        <v>15</v>
      </c>
      <c r="K1415" s="4" t="s">
        <v>0</v>
      </c>
    </row>
    <row r="1416" spans="1:11" ht="15.75" hidden="1" customHeight="1" x14ac:dyDescent="0.2">
      <c r="B1416" s="4" t="s">
        <v>8</v>
      </c>
      <c r="C1416" s="4" t="s">
        <v>104</v>
      </c>
      <c r="D1416" s="4" t="s">
        <v>18</v>
      </c>
      <c r="E1416" s="4" t="s">
        <v>5</v>
      </c>
      <c r="F1416" s="4" t="s">
        <v>1392</v>
      </c>
      <c r="G1416" s="7" t="s">
        <v>11</v>
      </c>
      <c r="H1416" s="6" t="s">
        <v>11</v>
      </c>
      <c r="I1416" s="4" t="s">
        <v>10</v>
      </c>
      <c r="J1416" s="4" t="s">
        <v>15</v>
      </c>
      <c r="K1416" s="4" t="s">
        <v>0</v>
      </c>
    </row>
    <row r="1417" spans="1:11" ht="15.75" hidden="1" customHeight="1" x14ac:dyDescent="0.2">
      <c r="B1417" s="4" t="s">
        <v>8</v>
      </c>
      <c r="C1417" s="4" t="s">
        <v>104</v>
      </c>
      <c r="D1417" s="4" t="s">
        <v>18</v>
      </c>
      <c r="E1417" s="4" t="s">
        <v>159</v>
      </c>
      <c r="F1417" s="4" t="s">
        <v>1391</v>
      </c>
      <c r="G1417" s="7" t="s">
        <v>11</v>
      </c>
      <c r="H1417" s="6" t="s">
        <v>11</v>
      </c>
      <c r="I1417" s="4" t="s">
        <v>10</v>
      </c>
      <c r="J1417" s="4" t="s">
        <v>9</v>
      </c>
      <c r="K1417" s="4" t="s">
        <v>0</v>
      </c>
    </row>
    <row r="1418" spans="1:11" ht="15.75" customHeight="1" x14ac:dyDescent="0.2">
      <c r="A1418" s="1">
        <v>13</v>
      </c>
      <c r="B1418" s="4" t="s">
        <v>8</v>
      </c>
      <c r="C1418" s="4" t="s">
        <v>1390</v>
      </c>
      <c r="D1418" s="4" t="s">
        <v>24</v>
      </c>
      <c r="E1418" s="4" t="s">
        <v>81</v>
      </c>
      <c r="F1418" s="4" t="s">
        <v>1389</v>
      </c>
      <c r="G1418" s="7" t="str">
        <f>HYPERLINK("https://ynaija.com/storieswehear-man-arrested-for-having-sex-with-a-buffalo-in-india/","News")</f>
        <v>News</v>
      </c>
      <c r="H1418" s="6" t="s">
        <v>3</v>
      </c>
      <c r="I1418" s="4" t="s">
        <v>109</v>
      </c>
      <c r="J1418" s="4" t="s">
        <v>82</v>
      </c>
      <c r="K1418" s="4" t="s">
        <v>367</v>
      </c>
    </row>
    <row r="1419" spans="1:11" ht="15.75" hidden="1" customHeight="1" x14ac:dyDescent="0.2">
      <c r="B1419" s="4" t="s">
        <v>8</v>
      </c>
      <c r="C1419" s="4" t="s">
        <v>507</v>
      </c>
      <c r="D1419" s="4" t="s">
        <v>150</v>
      </c>
      <c r="E1419" s="4" t="s">
        <v>5</v>
      </c>
      <c r="F1419" s="4" t="s">
        <v>1388</v>
      </c>
      <c r="G1419" s="7" t="str">
        <f>HYPERLINK("https://www.facebook.com/groups/indiaanimalforum/permalink/515200295228887/","Social Media")</f>
        <v>Social Media</v>
      </c>
      <c r="H1419" s="6" t="s">
        <v>11</v>
      </c>
      <c r="I1419" s="4" t="s">
        <v>10</v>
      </c>
      <c r="J1419" s="4" t="s">
        <v>82</v>
      </c>
      <c r="K1419" s="4" t="s">
        <v>0</v>
      </c>
    </row>
    <row r="1420" spans="1:11" ht="15.75" hidden="1" customHeight="1" x14ac:dyDescent="0.2">
      <c r="B1420" s="4" t="s">
        <v>8</v>
      </c>
      <c r="C1420" s="4" t="s">
        <v>804</v>
      </c>
      <c r="D1420" s="4" t="s">
        <v>18</v>
      </c>
      <c r="E1420" s="4" t="s">
        <v>17</v>
      </c>
      <c r="F1420" s="4" t="s">
        <v>1387</v>
      </c>
      <c r="G1420" s="7" t="str">
        <f>HYPERLINK("https://www.facebook.com/saveourStreetsmum/photos/a.289738381137556/428773253900734/?type=3","Social Media")</f>
        <v>Social Media</v>
      </c>
      <c r="H1420" s="6" t="s">
        <v>11</v>
      </c>
      <c r="I1420" s="4" t="s">
        <v>10</v>
      </c>
      <c r="J1420" s="4" t="s">
        <v>82</v>
      </c>
      <c r="K1420" s="4" t="s">
        <v>0</v>
      </c>
    </row>
    <row r="1421" spans="1:11" ht="15.75" customHeight="1" x14ac:dyDescent="0.2">
      <c r="A1421" s="1">
        <v>14</v>
      </c>
      <c r="B1421" s="4" t="s">
        <v>8</v>
      </c>
      <c r="C1421" s="4" t="s">
        <v>130</v>
      </c>
      <c r="D1421" s="4" t="s">
        <v>77</v>
      </c>
      <c r="E1421" s="4" t="s">
        <v>81</v>
      </c>
      <c r="F1421" s="4" t="s">
        <v>1386</v>
      </c>
      <c r="G1421" s="7" t="str">
        <f>HYPERLINK("https://www.ibtimes.co.uk/india-rape-animal-sex-cow-blue-cross-510141","News")</f>
        <v>News</v>
      </c>
      <c r="H1421" s="6" t="s">
        <v>3</v>
      </c>
      <c r="I1421" s="4" t="s">
        <v>109</v>
      </c>
      <c r="J1421" s="4" t="s">
        <v>82</v>
      </c>
      <c r="K1421" s="4" t="s">
        <v>57</v>
      </c>
    </row>
    <row r="1422" spans="1:11" ht="15.75" customHeight="1" x14ac:dyDescent="0.2">
      <c r="A1422" s="1">
        <v>15</v>
      </c>
      <c r="B1422" s="4" t="s">
        <v>8</v>
      </c>
      <c r="C1422" s="4" t="s">
        <v>139</v>
      </c>
      <c r="D1422" s="4" t="s">
        <v>18</v>
      </c>
      <c r="E1422" s="4" t="s">
        <v>27</v>
      </c>
      <c r="F1422" s="4" t="s">
        <v>1385</v>
      </c>
      <c r="G1422" s="7" t="str">
        <f>HYPERLINK("https://www.dnaindia.com/pune/report-52-year-old-man-held-for-raping-female-dog-1925440","News")</f>
        <v>News</v>
      </c>
      <c r="H1422" s="6" t="s">
        <v>3</v>
      </c>
      <c r="I1422" s="4" t="s">
        <v>10</v>
      </c>
      <c r="J1422" s="4" t="s">
        <v>82</v>
      </c>
      <c r="K1422" s="4" t="s">
        <v>0</v>
      </c>
    </row>
    <row r="1423" spans="1:11" ht="15.75" hidden="1" customHeight="1" x14ac:dyDescent="0.2">
      <c r="B1423" s="4" t="s">
        <v>8</v>
      </c>
      <c r="C1423" s="4" t="s">
        <v>878</v>
      </c>
      <c r="D1423" s="4" t="s">
        <v>877</v>
      </c>
      <c r="E1423" s="4" t="s">
        <v>5</v>
      </c>
      <c r="F1423" s="4" t="s">
        <v>1384</v>
      </c>
      <c r="G1423" s="7" t="str">
        <f>HYPERLINK("https://www.facebook.com/hopeandanimal/posts/689647171056988","Social media")</f>
        <v>Social media</v>
      </c>
      <c r="H1423" s="6" t="s">
        <v>11</v>
      </c>
      <c r="I1423" s="4" t="s">
        <v>10</v>
      </c>
      <c r="J1423" s="4" t="s">
        <v>15</v>
      </c>
      <c r="K1423" s="4" t="s">
        <v>0</v>
      </c>
    </row>
    <row r="1424" spans="1:11" ht="15.75" hidden="1" customHeight="1" x14ac:dyDescent="0.2">
      <c r="B1424" s="4" t="s">
        <v>8</v>
      </c>
      <c r="C1424" s="4" t="s">
        <v>104</v>
      </c>
      <c r="D1424" s="4" t="s">
        <v>18</v>
      </c>
      <c r="E1424" s="4" t="s">
        <v>5</v>
      </c>
      <c r="F1424" s="4" t="s">
        <v>1383</v>
      </c>
      <c r="G1424" s="7" t="str">
        <f>HYPERLINK("https://www.facebook.com/amtmindia/photos/a.202964286382392/713838291961653/?type=3&amp;theater","Social media")</f>
        <v>Social media</v>
      </c>
      <c r="H1424" s="6" t="s">
        <v>11</v>
      </c>
      <c r="I1424" s="4" t="s">
        <v>10</v>
      </c>
      <c r="J1424" s="4" t="s">
        <v>15</v>
      </c>
      <c r="K1424" s="4" t="s">
        <v>0</v>
      </c>
    </row>
    <row r="1425" spans="1:11" ht="15.75" hidden="1" customHeight="1" x14ac:dyDescent="0.2">
      <c r="B1425" s="4" t="s">
        <v>8</v>
      </c>
      <c r="C1425" s="4"/>
      <c r="D1425" s="4" t="s">
        <v>236</v>
      </c>
      <c r="E1425" s="4" t="s">
        <v>5</v>
      </c>
      <c r="F1425" s="4" t="s">
        <v>1382</v>
      </c>
      <c r="G1425" s="7" t="str">
        <f>HYPERLINK("https://www.facebook.com/wag.india/posts/845697952279928","Social media")</f>
        <v>Social media</v>
      </c>
      <c r="H1425" s="6" t="s">
        <v>11</v>
      </c>
      <c r="I1425" s="4" t="s">
        <v>2</v>
      </c>
      <c r="J1425" s="4" t="s">
        <v>1121</v>
      </c>
      <c r="K1425" s="4" t="s">
        <v>0</v>
      </c>
    </row>
    <row r="1426" spans="1:11" ht="15.75" hidden="1" customHeight="1" x14ac:dyDescent="0.2">
      <c r="B1426" s="4" t="s">
        <v>8</v>
      </c>
      <c r="C1426" s="4" t="s">
        <v>1381</v>
      </c>
      <c r="D1426" s="4" t="s">
        <v>77</v>
      </c>
      <c r="E1426" s="4" t="s">
        <v>81</v>
      </c>
      <c r="F1426" s="4" t="s">
        <v>1380</v>
      </c>
      <c r="G1426" s="7" t="str">
        <f>HYPERLINK("https://drive.google.com/file/d/0BzAMn08dit28QVJ5M1IzLTA2NjA/view","VoSD Report")</f>
        <v>VoSD Report</v>
      </c>
      <c r="H1426" s="6" t="s">
        <v>272</v>
      </c>
      <c r="I1426" s="4" t="s">
        <v>10</v>
      </c>
      <c r="J1426" s="4" t="s">
        <v>15</v>
      </c>
      <c r="K1426" s="4" t="s">
        <v>57</v>
      </c>
    </row>
    <row r="1427" spans="1:11" ht="15.75" hidden="1" customHeight="1" x14ac:dyDescent="0.2">
      <c r="B1427" s="4" t="s">
        <v>8</v>
      </c>
      <c r="C1427" s="4" t="s">
        <v>130</v>
      </c>
      <c r="D1427" s="4" t="s">
        <v>77</v>
      </c>
      <c r="E1427" s="4" t="s">
        <v>17</v>
      </c>
      <c r="F1427" s="4" t="s">
        <v>1379</v>
      </c>
      <c r="G1427" s="7" t="str">
        <f>HYPERLINK("https://www.facebook.com/bluecrossofindia/photos/a.421535982169/10152205564157170/?type=3","Social media")</f>
        <v>Social media</v>
      </c>
      <c r="H1427" s="6" t="s">
        <v>11</v>
      </c>
      <c r="I1427" s="4" t="s">
        <v>86</v>
      </c>
      <c r="J1427" s="4" t="s">
        <v>15</v>
      </c>
      <c r="K1427" s="4" t="s">
        <v>1378</v>
      </c>
    </row>
    <row r="1428" spans="1:11" ht="15.75" hidden="1" customHeight="1" x14ac:dyDescent="0.2">
      <c r="B1428" s="4" t="s">
        <v>8</v>
      </c>
      <c r="C1428" s="4" t="s">
        <v>130</v>
      </c>
      <c r="D1428" s="4" t="s">
        <v>77</v>
      </c>
      <c r="E1428" s="4" t="s">
        <v>159</v>
      </c>
      <c r="F1428" s="4" t="s">
        <v>1377</v>
      </c>
      <c r="G1428" s="7" t="str">
        <f>HYPERLINK("https://www.facebook.com/peopleforanimalschennai/photos/a.232046000257036/583730581755241/?type=3","Social media")</f>
        <v>Social media</v>
      </c>
      <c r="H1428" s="6" t="s">
        <v>11</v>
      </c>
      <c r="I1428" s="4" t="s">
        <v>2</v>
      </c>
      <c r="J1428" s="4" t="s">
        <v>1</v>
      </c>
      <c r="K1428" s="4" t="s">
        <v>75</v>
      </c>
    </row>
    <row r="1429" spans="1:11" ht="15.75" customHeight="1" x14ac:dyDescent="0.2">
      <c r="A1429" s="1">
        <v>16</v>
      </c>
      <c r="B1429" s="4" t="s">
        <v>8</v>
      </c>
      <c r="C1429" s="4" t="s">
        <v>104</v>
      </c>
      <c r="D1429" s="4" t="s">
        <v>18</v>
      </c>
      <c r="E1429" s="4" t="s">
        <v>17</v>
      </c>
      <c r="F1429" s="4" t="s">
        <v>1376</v>
      </c>
      <c r="G1429" s="7" t="str">
        <f>HYPERLINK("https://www.indiatvnews.com/crime/news/man-in-mumbai-let-off-by-police-after-he-was-caught-having-sex-with-a-puppy-5720.html","News")</f>
        <v>News</v>
      </c>
      <c r="H1429" s="6" t="s">
        <v>3</v>
      </c>
      <c r="I1429" s="4" t="s">
        <v>10</v>
      </c>
      <c r="J1429" s="4" t="s">
        <v>82</v>
      </c>
      <c r="K1429" s="4" t="s">
        <v>0</v>
      </c>
    </row>
    <row r="1430" spans="1:11" ht="15.75" hidden="1" customHeight="1" x14ac:dyDescent="0.2">
      <c r="B1430" s="4" t="s">
        <v>8</v>
      </c>
      <c r="C1430" s="4" t="s">
        <v>130</v>
      </c>
      <c r="D1430" s="4" t="s">
        <v>77</v>
      </c>
      <c r="E1430" s="4" t="s">
        <v>23</v>
      </c>
      <c r="F1430" s="4" t="s">
        <v>1375</v>
      </c>
      <c r="G1430" s="7" t="str">
        <f>HYPERLINK("https://www.facebook.com/bluecrossofindia/photos/a.421535982169/10152351113237170/?type=3","Social media")</f>
        <v>Social media</v>
      </c>
      <c r="H1430" s="6" t="s">
        <v>11</v>
      </c>
      <c r="I1430" s="4" t="s">
        <v>10</v>
      </c>
      <c r="J1430" s="4" t="s">
        <v>20</v>
      </c>
      <c r="K1430" s="4" t="s">
        <v>0</v>
      </c>
    </row>
    <row r="1431" spans="1:11" ht="15.75" customHeight="1" x14ac:dyDescent="0.2">
      <c r="A1431" s="1">
        <v>17</v>
      </c>
      <c r="B1431" s="4" t="s">
        <v>8</v>
      </c>
      <c r="C1431" s="4" t="s">
        <v>111</v>
      </c>
      <c r="D1431" s="4" t="s">
        <v>24</v>
      </c>
      <c r="E1431" s="4" t="s">
        <v>55</v>
      </c>
      <c r="F1431" s="4" t="s">
        <v>1374</v>
      </c>
      <c r="G1431" s="7" t="s">
        <v>3</v>
      </c>
      <c r="H1431" s="6" t="s">
        <v>3</v>
      </c>
      <c r="I1431" s="4" t="s">
        <v>305</v>
      </c>
      <c r="J1431" s="4" t="s">
        <v>1</v>
      </c>
      <c r="K1431" s="5" t="s">
        <v>34</v>
      </c>
    </row>
    <row r="1432" spans="1:11" ht="15.75" hidden="1" customHeight="1" x14ac:dyDescent="0.2">
      <c r="B1432" s="4" t="s">
        <v>8</v>
      </c>
      <c r="C1432" s="4" t="s">
        <v>104</v>
      </c>
      <c r="D1432" s="4" t="s">
        <v>18</v>
      </c>
      <c r="E1432" s="4" t="s">
        <v>17</v>
      </c>
      <c r="F1432" s="4" t="s">
        <v>1373</v>
      </c>
      <c r="G1432" s="7" t="str">
        <f>HYPERLINK("https://www.facebook.com/amtmindia/photos/a.130938910251597/778271502184998/?type=3&amp;theater","Social media")</f>
        <v>Social media</v>
      </c>
      <c r="H1432" s="6" t="s">
        <v>11</v>
      </c>
      <c r="I1432" s="4" t="s">
        <v>10</v>
      </c>
      <c r="J1432" s="4" t="s">
        <v>20</v>
      </c>
      <c r="K1432" s="4" t="s">
        <v>75</v>
      </c>
    </row>
    <row r="1433" spans="1:11" ht="15.75" hidden="1" customHeight="1" x14ac:dyDescent="0.2">
      <c r="B1433" s="4" t="s">
        <v>8</v>
      </c>
      <c r="C1433" s="4" t="s">
        <v>130</v>
      </c>
      <c r="D1433" s="4" t="s">
        <v>77</v>
      </c>
      <c r="E1433" s="4" t="s">
        <v>159</v>
      </c>
      <c r="F1433" s="4" t="s">
        <v>1372</v>
      </c>
      <c r="G1433" s="7" t="str">
        <f>HYPERLINK("https://www.facebook.com/bluecrossofindia/photos/a.421535982169/10152369564712170/?type=3","Social media")</f>
        <v>Social media</v>
      </c>
      <c r="H1433" s="6" t="s">
        <v>11</v>
      </c>
      <c r="I1433" s="4" t="s">
        <v>2</v>
      </c>
      <c r="J1433" s="4" t="s">
        <v>9</v>
      </c>
      <c r="K1433" s="4" t="s">
        <v>0</v>
      </c>
    </row>
    <row r="1434" spans="1:11" ht="15.75" hidden="1" customHeight="1" x14ac:dyDescent="0.2">
      <c r="B1434" s="4" t="s">
        <v>8</v>
      </c>
      <c r="C1434" s="4" t="s">
        <v>130</v>
      </c>
      <c r="D1434" s="4" t="s">
        <v>77</v>
      </c>
      <c r="E1434" s="4" t="s">
        <v>159</v>
      </c>
      <c r="F1434" s="4" t="s">
        <v>1372</v>
      </c>
      <c r="G1434" s="4" t="s">
        <v>348</v>
      </c>
      <c r="H1434" s="6" t="s">
        <v>11</v>
      </c>
      <c r="I1434" s="4" t="s">
        <v>2</v>
      </c>
      <c r="J1434" s="4" t="s">
        <v>9</v>
      </c>
      <c r="K1434" s="4" t="s">
        <v>0</v>
      </c>
    </row>
    <row r="1435" spans="1:11" ht="15.75" hidden="1" customHeight="1" x14ac:dyDescent="0.2">
      <c r="B1435" s="4" t="s">
        <v>8</v>
      </c>
      <c r="C1435" s="4" t="s">
        <v>1371</v>
      </c>
      <c r="D1435" s="4" t="s">
        <v>236</v>
      </c>
      <c r="E1435" s="4" t="s">
        <v>17</v>
      </c>
      <c r="F1435" s="4" t="s">
        <v>1370</v>
      </c>
      <c r="G1435" s="7" t="str">
        <f>HYPERLINK("https://www.facebook.com/wag.india/photos/a.112347678948296/267532840096445/?type=3&amp;theater","Social media")</f>
        <v>Social media</v>
      </c>
      <c r="H1435" s="6" t="s">
        <v>11</v>
      </c>
      <c r="I1435" s="4" t="s">
        <v>10</v>
      </c>
      <c r="J1435" s="4" t="s">
        <v>20</v>
      </c>
      <c r="K1435" s="4" t="s">
        <v>0</v>
      </c>
    </row>
    <row r="1436" spans="1:11" ht="15.75" hidden="1" customHeight="1" x14ac:dyDescent="0.2">
      <c r="B1436" s="4" t="s">
        <v>8</v>
      </c>
      <c r="C1436" s="4" t="s">
        <v>1369</v>
      </c>
      <c r="D1436" s="4" t="s">
        <v>77</v>
      </c>
      <c r="E1436" s="4" t="s">
        <v>23</v>
      </c>
      <c r="F1436" s="4" t="s">
        <v>1368</v>
      </c>
      <c r="G1436" s="7" t="str">
        <f>HYPERLINK("https://www.facebook.com/bluecrossofindia/photos/a.421535982169/10152376109567170/?type=3","Social media")</f>
        <v>Social media</v>
      </c>
      <c r="H1436" s="6" t="s">
        <v>11</v>
      </c>
      <c r="I1436" s="4" t="s">
        <v>10</v>
      </c>
      <c r="J1436" s="4" t="s">
        <v>9</v>
      </c>
      <c r="K1436" s="4" t="s">
        <v>57</v>
      </c>
    </row>
    <row r="1437" spans="1:11" ht="15.75" hidden="1" customHeight="1" x14ac:dyDescent="0.2">
      <c r="B1437" s="4" t="s">
        <v>8</v>
      </c>
      <c r="C1437" s="4" t="s">
        <v>130</v>
      </c>
      <c r="D1437" s="4" t="s">
        <v>77</v>
      </c>
      <c r="E1437" s="4" t="s">
        <v>23</v>
      </c>
      <c r="F1437" s="4" t="s">
        <v>1367</v>
      </c>
      <c r="G1437" s="7" t="str">
        <f>HYPERLINK("https://www.facebook.com/bluecrossofindia/photos/a.421535982169/10152403849447170/?type=3&amp;theater","Social media")</f>
        <v>Social media</v>
      </c>
      <c r="H1437" s="6" t="s">
        <v>11</v>
      </c>
      <c r="I1437" s="4" t="s">
        <v>21</v>
      </c>
      <c r="J1437" s="4" t="s">
        <v>9</v>
      </c>
      <c r="K1437" s="4" t="s">
        <v>19</v>
      </c>
    </row>
    <row r="1438" spans="1:11" ht="15.75" hidden="1" customHeight="1" x14ac:dyDescent="0.2">
      <c r="B1438" s="4" t="s">
        <v>8</v>
      </c>
      <c r="C1438" s="4" t="s">
        <v>1278</v>
      </c>
      <c r="D1438" s="4" t="s">
        <v>77</v>
      </c>
      <c r="E1438" s="4" t="s">
        <v>159</v>
      </c>
      <c r="F1438" s="4" t="s">
        <v>1366</v>
      </c>
      <c r="G1438" s="7" t="str">
        <f>HYPERLINK("https://www.facebook.com/PeoplesAnimalWelfareSociety/posts/228035850732305","Social media")</f>
        <v>Social media</v>
      </c>
      <c r="H1438" s="6" t="s">
        <v>11</v>
      </c>
      <c r="I1438" s="4" t="s">
        <v>10</v>
      </c>
      <c r="J1438" s="4" t="s">
        <v>1365</v>
      </c>
      <c r="K1438" s="4" t="s">
        <v>0</v>
      </c>
    </row>
    <row r="1439" spans="1:11" ht="15.75" hidden="1" customHeight="1" x14ac:dyDescent="0.2">
      <c r="B1439" s="4" t="s">
        <v>8</v>
      </c>
      <c r="C1439" s="4" t="s">
        <v>139</v>
      </c>
      <c r="D1439" s="4" t="s">
        <v>18</v>
      </c>
      <c r="E1439" s="4" t="s">
        <v>23</v>
      </c>
      <c r="F1439" s="4" t="s">
        <v>1364</v>
      </c>
      <c r="G1439" s="7" t="str">
        <f>HYPERLINK("https://timesofindia.indiatimes.com/city/pune/Cat-cruelty-takes-NCP-MP-to-court/articleshow/53680356.cms","Social media")</f>
        <v>Social media</v>
      </c>
      <c r="H1439" s="6" t="s">
        <v>11</v>
      </c>
      <c r="I1439" s="4" t="s">
        <v>2</v>
      </c>
      <c r="J1439" s="4" t="s">
        <v>15</v>
      </c>
      <c r="K1439" s="4" t="s">
        <v>75</v>
      </c>
    </row>
    <row r="1440" spans="1:11" ht="15.75" hidden="1" customHeight="1" x14ac:dyDescent="0.2">
      <c r="B1440" s="4" t="s">
        <v>8</v>
      </c>
      <c r="C1440" s="4" t="s">
        <v>1363</v>
      </c>
      <c r="D1440" s="4" t="s">
        <v>66</v>
      </c>
      <c r="E1440" s="4" t="s">
        <v>23</v>
      </c>
      <c r="F1440" s="4" t="s">
        <v>1362</v>
      </c>
      <c r="G1440" s="7" t="str">
        <f>HYPERLINK("https://www.facebook.com/permalink.php?story_fbid=1521853318054002&amp;id=1479152498990751","Social media")</f>
        <v>Social media</v>
      </c>
      <c r="H1440" s="6" t="s">
        <v>11</v>
      </c>
      <c r="I1440" s="4" t="s">
        <v>10</v>
      </c>
      <c r="J1440" s="4" t="s">
        <v>15</v>
      </c>
      <c r="K1440" s="4" t="s">
        <v>57</v>
      </c>
    </row>
    <row r="1441" spans="1:11" ht="15.75" hidden="1" customHeight="1" x14ac:dyDescent="0.2">
      <c r="B1441" s="4" t="s">
        <v>8</v>
      </c>
      <c r="C1441" s="4"/>
      <c r="D1441" s="4" t="s">
        <v>236</v>
      </c>
      <c r="E1441" s="4" t="s">
        <v>159</v>
      </c>
      <c r="F1441" s="4" t="s">
        <v>1361</v>
      </c>
      <c r="G1441" s="7" t="str">
        <f>HYPERLINK("https://www.facebook.com/wag.india/posts/301722350010827","Social media")</f>
        <v>Social media</v>
      </c>
      <c r="H1441" s="6" t="s">
        <v>11</v>
      </c>
      <c r="I1441" s="4" t="s">
        <v>10</v>
      </c>
      <c r="J1441" s="4" t="s">
        <v>15</v>
      </c>
      <c r="K1441" s="4" t="s">
        <v>0</v>
      </c>
    </row>
    <row r="1442" spans="1:11" ht="16" hidden="1" customHeight="1" x14ac:dyDescent="0.2">
      <c r="B1442" s="4" t="s">
        <v>8</v>
      </c>
      <c r="C1442" s="4"/>
      <c r="D1442" s="4" t="s">
        <v>66</v>
      </c>
      <c r="E1442" s="4" t="s">
        <v>55</v>
      </c>
      <c r="F1442" s="4" t="s">
        <v>1360</v>
      </c>
      <c r="G1442" s="7" t="s">
        <v>11</v>
      </c>
      <c r="H1442" s="6" t="s">
        <v>11</v>
      </c>
      <c r="I1442" s="4" t="s">
        <v>10</v>
      </c>
      <c r="J1442" s="4" t="s">
        <v>1</v>
      </c>
      <c r="K1442" s="4" t="s">
        <v>57</v>
      </c>
    </row>
    <row r="1443" spans="1:11" ht="15.75" hidden="1" customHeight="1" x14ac:dyDescent="0.2">
      <c r="B1443" s="4" t="s">
        <v>8</v>
      </c>
      <c r="C1443" s="4"/>
      <c r="D1443" s="4" t="s">
        <v>236</v>
      </c>
      <c r="E1443" s="4" t="s">
        <v>159</v>
      </c>
      <c r="F1443" s="4" t="s">
        <v>1359</v>
      </c>
      <c r="G1443" s="7" t="str">
        <f>HYPERLINK("https://www.facebook.com/wag.india/videos/324852554364473/?v=324852554364473","Social media")</f>
        <v>Social media</v>
      </c>
      <c r="H1443" s="6" t="s">
        <v>11</v>
      </c>
      <c r="I1443" s="4" t="s">
        <v>10</v>
      </c>
      <c r="J1443" s="4" t="s">
        <v>15</v>
      </c>
      <c r="K1443" s="4" t="s">
        <v>0</v>
      </c>
    </row>
    <row r="1444" spans="1:11" ht="15.75" customHeight="1" x14ac:dyDescent="0.2">
      <c r="A1444" s="1">
        <v>18</v>
      </c>
      <c r="B1444" s="4" t="s">
        <v>8</v>
      </c>
      <c r="C1444" s="4" t="s">
        <v>1185</v>
      </c>
      <c r="D1444" s="4" t="s">
        <v>66</v>
      </c>
      <c r="E1444" s="4" t="s">
        <v>81</v>
      </c>
      <c r="F1444" s="4" t="s">
        <v>1358</v>
      </c>
      <c r="G1444" s="7" t="str">
        <f>HYPERLINK("https://www.ibtimes.co.in/shocking-cctv-captures-indian-man-raping-cow-lands-jail-611655","News")</f>
        <v>News</v>
      </c>
      <c r="H1444" s="6" t="s">
        <v>3</v>
      </c>
      <c r="I1444" s="4" t="s">
        <v>109</v>
      </c>
      <c r="J1444" s="4" t="s">
        <v>82</v>
      </c>
      <c r="K1444" s="4" t="s">
        <v>57</v>
      </c>
    </row>
    <row r="1445" spans="1:11" ht="15.75" hidden="1" customHeight="1" x14ac:dyDescent="0.2">
      <c r="B1445" s="4" t="s">
        <v>8</v>
      </c>
      <c r="C1445" s="4" t="s">
        <v>130</v>
      </c>
      <c r="D1445" s="4" t="s">
        <v>77</v>
      </c>
      <c r="E1445" s="4" t="s">
        <v>159</v>
      </c>
      <c r="F1445" s="4" t="s">
        <v>1357</v>
      </c>
      <c r="G1445" s="7" t="str">
        <f>HYPERLINK("https://www.facebook.com/peopleforanimalschennai/posts/975784615883167","Social media")</f>
        <v>Social media</v>
      </c>
      <c r="H1445" s="6" t="s">
        <v>11</v>
      </c>
      <c r="I1445" s="4" t="s">
        <v>2</v>
      </c>
      <c r="J1445" s="4" t="s">
        <v>1</v>
      </c>
      <c r="K1445" s="4" t="s">
        <v>75</v>
      </c>
    </row>
    <row r="1446" spans="1:11" ht="15.75" hidden="1" customHeight="1" x14ac:dyDescent="0.2">
      <c r="B1446" s="4" t="s">
        <v>8</v>
      </c>
      <c r="C1446" s="4" t="s">
        <v>1356</v>
      </c>
      <c r="D1446" s="4" t="s">
        <v>88</v>
      </c>
      <c r="E1446" s="4" t="s">
        <v>159</v>
      </c>
      <c r="F1446" s="4" t="s">
        <v>1355</v>
      </c>
      <c r="G1446" s="7" t="str">
        <f>HYPERLINK("https://www.facebook.com/groups/indiaanimalforum/permalink/733409013408013/","Social Media")</f>
        <v>Social Media</v>
      </c>
      <c r="H1446" s="6" t="s">
        <v>11</v>
      </c>
      <c r="I1446" s="4" t="s">
        <v>10</v>
      </c>
      <c r="J1446" s="4" t="s">
        <v>15</v>
      </c>
      <c r="K1446" s="4" t="s">
        <v>0</v>
      </c>
    </row>
    <row r="1447" spans="1:11" ht="15.75" hidden="1" customHeight="1" x14ac:dyDescent="0.2">
      <c r="B1447" s="4" t="s">
        <v>8</v>
      </c>
      <c r="C1447" s="4" t="s">
        <v>104</v>
      </c>
      <c r="D1447" s="4" t="s">
        <v>18</v>
      </c>
      <c r="E1447" s="4" t="s">
        <v>23</v>
      </c>
      <c r="F1447" s="4" t="s">
        <v>1354</v>
      </c>
      <c r="G1447" s="7" t="str">
        <f>HYPERLINK("http://www.pawaindia.org/2015/01/female-dog-molested-sexually-abused.html","Website")</f>
        <v>Website</v>
      </c>
      <c r="H1447" s="6" t="s">
        <v>3</v>
      </c>
      <c r="I1447" s="4" t="s">
        <v>10</v>
      </c>
      <c r="J1447" s="4" t="s">
        <v>82</v>
      </c>
      <c r="K1447" s="4" t="s">
        <v>0</v>
      </c>
    </row>
    <row r="1448" spans="1:11" ht="15.75" hidden="1" customHeight="1" x14ac:dyDescent="0.2">
      <c r="B1448" s="4" t="s">
        <v>8</v>
      </c>
      <c r="C1448" s="4"/>
      <c r="D1448" s="4" t="s">
        <v>236</v>
      </c>
      <c r="E1448" s="4" t="s">
        <v>159</v>
      </c>
      <c r="F1448" s="4" t="s">
        <v>1353</v>
      </c>
      <c r="G1448" s="7" t="str">
        <f>HYPERLINK("https://www.facebook.com/wag.india/posts/350011331848595","Social media")</f>
        <v>Social media</v>
      </c>
      <c r="H1448" s="6" t="s">
        <v>11</v>
      </c>
      <c r="I1448" s="4" t="s">
        <v>10</v>
      </c>
      <c r="J1448" s="4" t="s">
        <v>15</v>
      </c>
      <c r="K1448" s="4" t="s">
        <v>0</v>
      </c>
    </row>
    <row r="1449" spans="1:11" ht="15.75" customHeight="1" x14ac:dyDescent="0.2">
      <c r="A1449" s="1">
        <v>19</v>
      </c>
      <c r="B1449" s="4" t="s">
        <v>8</v>
      </c>
      <c r="C1449" s="4" t="s">
        <v>507</v>
      </c>
      <c r="D1449" s="4" t="s">
        <v>150</v>
      </c>
      <c r="E1449" s="4" t="s">
        <v>81</v>
      </c>
      <c r="F1449" s="4" t="s">
        <v>1352</v>
      </c>
      <c r="G1449" s="7" t="str">
        <f>HYPERLINK("https://zeenews.india.com/news/delhi/delhi-man-lands-behind-bars-for-sex-with-dog_1510172.html","News")</f>
        <v>News</v>
      </c>
      <c r="H1449" s="6" t="s">
        <v>3</v>
      </c>
      <c r="I1449" s="4" t="s">
        <v>10</v>
      </c>
      <c r="J1449" s="4" t="s">
        <v>82</v>
      </c>
      <c r="K1449" s="4" t="s">
        <v>0</v>
      </c>
    </row>
    <row r="1450" spans="1:11" ht="15.75" hidden="1" customHeight="1" x14ac:dyDescent="0.2">
      <c r="B1450" s="4" t="s">
        <v>8</v>
      </c>
      <c r="C1450" s="4" t="s">
        <v>130</v>
      </c>
      <c r="D1450" s="4" t="s">
        <v>77</v>
      </c>
      <c r="E1450" s="4" t="s">
        <v>5</v>
      </c>
      <c r="F1450" s="4" t="s">
        <v>1351</v>
      </c>
      <c r="G1450" s="7" t="str">
        <f>HYPERLINK("https://www.facebook.com/bluecrossofindia/photos/a.421535982169/10152938716202170/?type=3&amp;theater","Social media")</f>
        <v>Social media</v>
      </c>
      <c r="H1450" s="6" t="s">
        <v>11</v>
      </c>
      <c r="I1450" s="4" t="s">
        <v>10</v>
      </c>
      <c r="J1450" s="4" t="s">
        <v>15</v>
      </c>
      <c r="K1450" s="4" t="s">
        <v>57</v>
      </c>
    </row>
    <row r="1451" spans="1:11" ht="15.75" hidden="1" customHeight="1" x14ac:dyDescent="0.2">
      <c r="B1451" s="4" t="s">
        <v>8</v>
      </c>
      <c r="C1451" s="4" t="s">
        <v>527</v>
      </c>
      <c r="D1451" s="4" t="s">
        <v>18</v>
      </c>
      <c r="E1451" s="4" t="s">
        <v>5</v>
      </c>
      <c r="F1451" s="4" t="s">
        <v>1350</v>
      </c>
      <c r="G1451" s="4" t="s">
        <v>1008</v>
      </c>
      <c r="H1451" s="6" t="s">
        <v>1301</v>
      </c>
      <c r="I1451" s="4" t="s">
        <v>109</v>
      </c>
      <c r="J1451" s="4" t="s">
        <v>82</v>
      </c>
      <c r="K1451" s="4" t="s">
        <v>0</v>
      </c>
    </row>
    <row r="1452" spans="1:11" ht="15.75" hidden="1" customHeight="1" x14ac:dyDescent="0.2">
      <c r="B1452" s="4" t="s">
        <v>8</v>
      </c>
      <c r="C1452" s="4" t="s">
        <v>527</v>
      </c>
      <c r="D1452" s="4" t="s">
        <v>18</v>
      </c>
      <c r="E1452" s="4" t="s">
        <v>5</v>
      </c>
      <c r="F1452" s="4" t="s">
        <v>1349</v>
      </c>
      <c r="G1452" s="4" t="s">
        <v>1008</v>
      </c>
      <c r="H1452" s="6" t="s">
        <v>1301</v>
      </c>
      <c r="I1452" s="4" t="s">
        <v>10</v>
      </c>
      <c r="J1452" s="4" t="s">
        <v>82</v>
      </c>
      <c r="K1452" s="4" t="s">
        <v>0</v>
      </c>
    </row>
    <row r="1453" spans="1:11" ht="15.75" hidden="1" customHeight="1" x14ac:dyDescent="0.2">
      <c r="B1453" s="4" t="s">
        <v>8</v>
      </c>
      <c r="C1453" s="4" t="s">
        <v>804</v>
      </c>
      <c r="D1453" s="4" t="s">
        <v>18</v>
      </c>
      <c r="E1453" s="4" t="s">
        <v>5</v>
      </c>
      <c r="F1453" s="4" t="s">
        <v>1348</v>
      </c>
      <c r="G1453" s="4" t="s">
        <v>1008</v>
      </c>
      <c r="H1453" s="6" t="s">
        <v>1301</v>
      </c>
      <c r="I1453" s="4" t="s">
        <v>10</v>
      </c>
      <c r="J1453" s="4" t="s">
        <v>82</v>
      </c>
      <c r="K1453" s="4" t="s">
        <v>0</v>
      </c>
    </row>
    <row r="1454" spans="1:11" ht="15.75" hidden="1" customHeight="1" x14ac:dyDescent="0.2">
      <c r="B1454" s="4" t="s">
        <v>8</v>
      </c>
      <c r="C1454" s="4" t="s">
        <v>228</v>
      </c>
      <c r="D1454" s="4" t="s">
        <v>36</v>
      </c>
      <c r="E1454" s="4" t="s">
        <v>159</v>
      </c>
      <c r="F1454" s="4" t="s">
        <v>1347</v>
      </c>
      <c r="G1454" s="4" t="s">
        <v>289</v>
      </c>
      <c r="H1454" s="6" t="s">
        <v>272</v>
      </c>
      <c r="I1454" s="4" t="s">
        <v>21</v>
      </c>
      <c r="J1454" s="4" t="s">
        <v>618</v>
      </c>
      <c r="K1454" s="4" t="s">
        <v>288</v>
      </c>
    </row>
    <row r="1455" spans="1:11" ht="15.75" customHeight="1" x14ac:dyDescent="0.2">
      <c r="A1455" s="1">
        <v>20</v>
      </c>
      <c r="B1455" s="4" t="s">
        <v>8</v>
      </c>
      <c r="C1455" s="4" t="s">
        <v>502</v>
      </c>
      <c r="D1455" s="4" t="s">
        <v>36</v>
      </c>
      <c r="E1455" s="4" t="s">
        <v>81</v>
      </c>
      <c r="F1455" s="4" t="s">
        <v>1346</v>
      </c>
      <c r="G1455" s="7" t="str">
        <f>HYPERLINK("https://www.thehindu.com/news/cities/Mangalore/man-arrested-on-the-charge-of-bestiality/article6814341.ece","News")</f>
        <v>News</v>
      </c>
      <c r="H1455" s="6" t="s">
        <v>3</v>
      </c>
      <c r="I1455" s="4" t="s">
        <v>109</v>
      </c>
      <c r="J1455" s="4" t="s">
        <v>82</v>
      </c>
      <c r="K1455" s="4" t="s">
        <v>432</v>
      </c>
    </row>
    <row r="1456" spans="1:11" ht="15.75" hidden="1" customHeight="1" x14ac:dyDescent="0.2">
      <c r="B1456" s="4" t="s">
        <v>8</v>
      </c>
      <c r="C1456" s="4" t="s">
        <v>139</v>
      </c>
      <c r="D1456" s="4" t="s">
        <v>18</v>
      </c>
      <c r="E1456" s="4" t="s">
        <v>23</v>
      </c>
      <c r="F1456" s="4" t="s">
        <v>1345</v>
      </c>
      <c r="G1456" s="7" t="str">
        <f>HYPERLINK("https://www.facebook.com/aactindia/posts/390776941097759","Social media")</f>
        <v>Social media</v>
      </c>
      <c r="H1456" s="6" t="s">
        <v>11</v>
      </c>
      <c r="I1456" s="4" t="s">
        <v>10</v>
      </c>
      <c r="J1456" s="4" t="s">
        <v>20</v>
      </c>
      <c r="K1456" s="4" t="s">
        <v>0</v>
      </c>
    </row>
    <row r="1457" spans="1:11" ht="15.75" hidden="1" customHeight="1" x14ac:dyDescent="0.2">
      <c r="B1457" s="4" t="s">
        <v>8</v>
      </c>
      <c r="C1457" s="4"/>
      <c r="D1457" s="4" t="s">
        <v>236</v>
      </c>
      <c r="E1457" s="4" t="s">
        <v>159</v>
      </c>
      <c r="F1457" s="4" t="s">
        <v>1344</v>
      </c>
      <c r="G1457" s="7" t="str">
        <f>HYPERLINK("https://www.facebook.com/wag.india/posts/376885269161201","Social media")</f>
        <v>Social media</v>
      </c>
      <c r="H1457" s="6" t="s">
        <v>11</v>
      </c>
      <c r="I1457" s="4" t="s">
        <v>10</v>
      </c>
      <c r="J1457" s="4" t="s">
        <v>15</v>
      </c>
      <c r="K1457" s="4" t="s">
        <v>0</v>
      </c>
    </row>
    <row r="1458" spans="1:11" ht="15.75" customHeight="1" x14ac:dyDescent="0.2">
      <c r="A1458" s="1">
        <v>21</v>
      </c>
      <c r="B1458" s="4" t="s">
        <v>8</v>
      </c>
      <c r="C1458" s="4"/>
      <c r="D1458" s="4" t="s">
        <v>221</v>
      </c>
      <c r="E1458" s="4" t="s">
        <v>5</v>
      </c>
      <c r="F1458" s="4" t="s">
        <v>1343</v>
      </c>
      <c r="G1458" s="7" t="s">
        <v>3</v>
      </c>
      <c r="H1458" s="6" t="s">
        <v>3</v>
      </c>
      <c r="I1458" s="4" t="s">
        <v>86</v>
      </c>
      <c r="J1458" s="4" t="s">
        <v>20</v>
      </c>
      <c r="K1458" s="4" t="s">
        <v>45</v>
      </c>
    </row>
    <row r="1459" spans="1:11" ht="15.75" hidden="1" customHeight="1" x14ac:dyDescent="0.2">
      <c r="B1459" s="4" t="s">
        <v>8</v>
      </c>
      <c r="C1459" s="4"/>
      <c r="D1459" s="4" t="s">
        <v>236</v>
      </c>
      <c r="E1459" s="4" t="s">
        <v>159</v>
      </c>
      <c r="F1459" s="4" t="s">
        <v>1342</v>
      </c>
      <c r="G1459" s="7" t="str">
        <f>HYPERLINK("https://www.facebook.com/wag.india/posts/412001262316268:0","Social media")</f>
        <v>Social media</v>
      </c>
      <c r="H1459" s="6" t="s">
        <v>11</v>
      </c>
      <c r="I1459" s="4" t="s">
        <v>10</v>
      </c>
      <c r="J1459" s="4" t="s">
        <v>15</v>
      </c>
      <c r="K1459" s="4" t="s">
        <v>34</v>
      </c>
    </row>
    <row r="1460" spans="1:11" ht="15.75" hidden="1" customHeight="1" x14ac:dyDescent="0.2">
      <c r="B1460" s="4" t="s">
        <v>8</v>
      </c>
      <c r="C1460" s="4" t="s">
        <v>139</v>
      </c>
      <c r="D1460" s="4" t="s">
        <v>18</v>
      </c>
      <c r="E1460" s="4" t="s">
        <v>23</v>
      </c>
      <c r="F1460" s="4" t="s">
        <v>1341</v>
      </c>
      <c r="G1460" s="7" t="str">
        <f>HYPERLINK("https://www.facebook.com/aactindia/photos/a.405695916272528/405695756272544/?type=3","Social media")</f>
        <v>Social media</v>
      </c>
      <c r="H1460" s="6" t="s">
        <v>11</v>
      </c>
      <c r="I1460" s="4" t="s">
        <v>10</v>
      </c>
      <c r="J1460" s="4" t="s">
        <v>15</v>
      </c>
      <c r="K1460" s="4" t="s">
        <v>0</v>
      </c>
    </row>
    <row r="1461" spans="1:11" ht="15.75" hidden="1" customHeight="1" x14ac:dyDescent="0.2">
      <c r="B1461" s="4" t="s">
        <v>8</v>
      </c>
      <c r="C1461" s="4" t="s">
        <v>878</v>
      </c>
      <c r="D1461" s="4" t="s">
        <v>877</v>
      </c>
      <c r="E1461" s="4" t="s">
        <v>5</v>
      </c>
      <c r="F1461" s="4" t="s">
        <v>1340</v>
      </c>
      <c r="G1461" s="7" t="str">
        <f>HYPERLINK("https://www.facebook.com/groups/indiaanimalforum/permalink/808051155943798/","Social media")</f>
        <v>Social media</v>
      </c>
      <c r="H1461" s="6" t="s">
        <v>11</v>
      </c>
      <c r="I1461" s="4" t="s">
        <v>10</v>
      </c>
      <c r="J1461" s="4" t="s">
        <v>15</v>
      </c>
      <c r="K1461" s="4" t="s">
        <v>0</v>
      </c>
    </row>
    <row r="1462" spans="1:11" ht="15.75" hidden="1" customHeight="1" x14ac:dyDescent="0.2">
      <c r="B1462" s="4" t="s">
        <v>8</v>
      </c>
      <c r="C1462" s="4" t="s">
        <v>228</v>
      </c>
      <c r="D1462" s="4" t="s">
        <v>36</v>
      </c>
      <c r="E1462" s="4" t="s">
        <v>159</v>
      </c>
      <c r="F1462" s="4" t="s">
        <v>1339</v>
      </c>
      <c r="G1462" s="4" t="s">
        <v>289</v>
      </c>
      <c r="H1462" s="6" t="s">
        <v>272</v>
      </c>
      <c r="I1462" s="4" t="s">
        <v>281</v>
      </c>
      <c r="J1462" s="4" t="s">
        <v>814</v>
      </c>
      <c r="K1462" s="4" t="s">
        <v>280</v>
      </c>
    </row>
    <row r="1463" spans="1:11" ht="15.75" customHeight="1" x14ac:dyDescent="0.2">
      <c r="A1463" s="1">
        <v>22</v>
      </c>
      <c r="B1463" s="4" t="s">
        <v>8</v>
      </c>
      <c r="C1463" s="4" t="s">
        <v>104</v>
      </c>
      <c r="D1463" s="4" t="s">
        <v>18</v>
      </c>
      <c r="E1463" s="4" t="s">
        <v>17</v>
      </c>
      <c r="F1463" s="4" t="s">
        <v>1338</v>
      </c>
      <c r="G1463" s="7" t="str">
        <f>HYPERLINK("https://www.mid-day.com/articles/mumbai-crime-teens-catch-man-raping-dog-kill-him-in-fit-of-anger/16133185","News")</f>
        <v>News</v>
      </c>
      <c r="H1463" s="6" t="s">
        <v>3</v>
      </c>
      <c r="I1463" s="4" t="s">
        <v>10</v>
      </c>
      <c r="J1463" s="4" t="s">
        <v>82</v>
      </c>
      <c r="K1463" s="4" t="s">
        <v>0</v>
      </c>
    </row>
    <row r="1464" spans="1:11" ht="15.75" customHeight="1" x14ac:dyDescent="0.2">
      <c r="A1464" s="1">
        <v>23</v>
      </c>
      <c r="B1464" s="4" t="s">
        <v>8</v>
      </c>
      <c r="C1464" s="4"/>
      <c r="D1464" s="4" t="s">
        <v>66</v>
      </c>
      <c r="E1464" s="4" t="s">
        <v>159</v>
      </c>
      <c r="F1464" s="4" t="s">
        <v>1337</v>
      </c>
      <c r="G1464" s="7" t="str">
        <f>HYPERLINK("https://fightdogmeat.com/2016/07/15/video-india-women-dog-butchers-at-dog-meat-markets/","News")</f>
        <v>News</v>
      </c>
      <c r="H1464" s="6" t="s">
        <v>3</v>
      </c>
      <c r="I1464" s="4" t="s">
        <v>10</v>
      </c>
      <c r="J1464" s="4" t="s">
        <v>1</v>
      </c>
      <c r="K1464" s="4" t="s">
        <v>0</v>
      </c>
    </row>
    <row r="1465" spans="1:11" ht="15.75" hidden="1" customHeight="1" x14ac:dyDescent="0.2">
      <c r="B1465" s="4" t="s">
        <v>8</v>
      </c>
      <c r="C1465" s="4" t="s">
        <v>228</v>
      </c>
      <c r="D1465" s="4" t="s">
        <v>36</v>
      </c>
      <c r="E1465" s="4" t="s">
        <v>159</v>
      </c>
      <c r="F1465" s="4" t="s">
        <v>1336</v>
      </c>
      <c r="G1465" s="4" t="s">
        <v>289</v>
      </c>
      <c r="H1465" s="6" t="s">
        <v>272</v>
      </c>
      <c r="I1465" s="4" t="s">
        <v>281</v>
      </c>
      <c r="J1465" s="4" t="s">
        <v>814</v>
      </c>
      <c r="K1465" s="4" t="s">
        <v>280</v>
      </c>
    </row>
    <row r="1466" spans="1:11" ht="15.75" hidden="1" customHeight="1" x14ac:dyDescent="0.2">
      <c r="B1466" s="4" t="s">
        <v>8</v>
      </c>
      <c r="C1466" s="4" t="s">
        <v>382</v>
      </c>
      <c r="D1466" s="4" t="s">
        <v>77</v>
      </c>
      <c r="E1466" s="4" t="s">
        <v>17</v>
      </c>
      <c r="F1466" s="4" t="s">
        <v>1335</v>
      </c>
      <c r="G1466" s="7" t="str">
        <f>HYPERLINK("https://www.facebook.com/trollkarunya/photos/a.144221289088174/435878219922478/?type=3","Social media")</f>
        <v>Social media</v>
      </c>
      <c r="H1466" s="6" t="s">
        <v>11</v>
      </c>
      <c r="I1466" s="4" t="s">
        <v>10</v>
      </c>
      <c r="J1466" s="4" t="s">
        <v>20</v>
      </c>
      <c r="K1466" s="4" t="s">
        <v>0</v>
      </c>
    </row>
    <row r="1467" spans="1:11" ht="15.75" customHeight="1" x14ac:dyDescent="0.2">
      <c r="A1467" s="1">
        <v>24</v>
      </c>
      <c r="B1467" s="4" t="s">
        <v>8</v>
      </c>
      <c r="C1467" s="4" t="s">
        <v>617</v>
      </c>
      <c r="D1467" s="4" t="s">
        <v>154</v>
      </c>
      <c r="E1467" s="4" t="s">
        <v>23</v>
      </c>
      <c r="F1467" s="4" t="s">
        <v>1334</v>
      </c>
      <c r="G1467" s="7" t="s">
        <v>3</v>
      </c>
      <c r="H1467" s="6" t="s">
        <v>3</v>
      </c>
      <c r="I1467" s="4" t="s">
        <v>10</v>
      </c>
      <c r="J1467" s="4" t="s">
        <v>20</v>
      </c>
      <c r="K1467" s="4" t="s">
        <v>0</v>
      </c>
    </row>
    <row r="1468" spans="1:11" ht="15.75" hidden="1" customHeight="1" x14ac:dyDescent="0.2">
      <c r="B1468" s="4" t="s">
        <v>8</v>
      </c>
      <c r="C1468" s="4" t="s">
        <v>228</v>
      </c>
      <c r="D1468" s="4" t="s">
        <v>36</v>
      </c>
      <c r="E1468" s="4" t="s">
        <v>17</v>
      </c>
      <c r="F1468" s="4" t="s">
        <v>1333</v>
      </c>
      <c r="G1468" s="4" t="s">
        <v>289</v>
      </c>
      <c r="H1468" s="6" t="s">
        <v>272</v>
      </c>
      <c r="I1468" s="4" t="s">
        <v>281</v>
      </c>
      <c r="J1468" s="4" t="s">
        <v>50</v>
      </c>
      <c r="K1468" s="4" t="s">
        <v>280</v>
      </c>
    </row>
    <row r="1469" spans="1:11" ht="15.75" hidden="1" customHeight="1" x14ac:dyDescent="0.2">
      <c r="B1469" s="4" t="s">
        <v>8</v>
      </c>
      <c r="C1469" s="4" t="s">
        <v>871</v>
      </c>
      <c r="D1469" s="4" t="s">
        <v>36</v>
      </c>
      <c r="E1469" s="4" t="s">
        <v>159</v>
      </c>
      <c r="F1469" s="4" t="s">
        <v>1189</v>
      </c>
      <c r="G1469" s="4" t="s">
        <v>289</v>
      </c>
      <c r="H1469" s="6" t="s">
        <v>272</v>
      </c>
      <c r="I1469" s="4" t="s">
        <v>281</v>
      </c>
      <c r="J1469" s="4" t="s">
        <v>334</v>
      </c>
      <c r="K1469" s="4" t="s">
        <v>280</v>
      </c>
    </row>
    <row r="1470" spans="1:11" ht="15.75" hidden="1" customHeight="1" x14ac:dyDescent="0.2">
      <c r="B1470" s="4" t="s">
        <v>8</v>
      </c>
      <c r="C1470" s="4"/>
      <c r="D1470" s="4" t="s">
        <v>236</v>
      </c>
      <c r="E1470" s="4" t="s">
        <v>159</v>
      </c>
      <c r="F1470" s="4" t="s">
        <v>1332</v>
      </c>
      <c r="G1470" s="7" t="str">
        <f>HYPERLINK("https://www.facebook.com/wag.india/posts/421239031392491","Social media")</f>
        <v>Social media</v>
      </c>
      <c r="H1470" s="6" t="s">
        <v>11</v>
      </c>
      <c r="I1470" s="4" t="s">
        <v>10</v>
      </c>
      <c r="J1470" s="4" t="s">
        <v>15</v>
      </c>
      <c r="K1470" s="4" t="s">
        <v>0</v>
      </c>
    </row>
    <row r="1471" spans="1:11" ht="15.75" hidden="1" customHeight="1" x14ac:dyDescent="0.2">
      <c r="B1471" s="4" t="s">
        <v>8</v>
      </c>
      <c r="C1471" s="4" t="s">
        <v>104</v>
      </c>
      <c r="D1471" s="4" t="s">
        <v>18</v>
      </c>
      <c r="E1471" s="4" t="s">
        <v>159</v>
      </c>
      <c r="F1471" s="4" t="s">
        <v>1331</v>
      </c>
      <c r="G1471" s="7" t="str">
        <f>HYPERLINK("https://www.youtube.com/watch?v=M6c4SEpDgmk","Youtube")</f>
        <v>Youtube</v>
      </c>
      <c r="H1471" s="6" t="s">
        <v>3</v>
      </c>
      <c r="I1471" s="4" t="s">
        <v>10</v>
      </c>
      <c r="J1471" s="4" t="s">
        <v>15</v>
      </c>
      <c r="K1471" s="4" t="s">
        <v>0</v>
      </c>
    </row>
    <row r="1472" spans="1:11" ht="15.75" hidden="1" customHeight="1" x14ac:dyDescent="0.2">
      <c r="B1472" s="4" t="s">
        <v>8</v>
      </c>
      <c r="C1472" s="4" t="s">
        <v>804</v>
      </c>
      <c r="D1472" s="4" t="s">
        <v>18</v>
      </c>
      <c r="E1472" s="4" t="s">
        <v>23</v>
      </c>
      <c r="F1472" s="4" t="s">
        <v>1330</v>
      </c>
      <c r="G1472" s="7" t="str">
        <f>HYPERLINK("https://www.facebook.com/groups/indiaanimalforum/permalink/886252401457006/","Social Media")</f>
        <v>Social Media</v>
      </c>
      <c r="H1472" s="6" t="s">
        <v>11</v>
      </c>
      <c r="I1472" s="4" t="s">
        <v>10</v>
      </c>
      <c r="J1472" s="4" t="s">
        <v>82</v>
      </c>
      <c r="K1472" s="4" t="s">
        <v>0</v>
      </c>
    </row>
    <row r="1473" spans="1:11" ht="15.75" hidden="1" customHeight="1" x14ac:dyDescent="0.2">
      <c r="B1473" s="4" t="s">
        <v>8</v>
      </c>
      <c r="C1473" s="4" t="s">
        <v>228</v>
      </c>
      <c r="D1473" s="4" t="s">
        <v>36</v>
      </c>
      <c r="E1473" s="4" t="s">
        <v>159</v>
      </c>
      <c r="F1473" s="4" t="s">
        <v>1329</v>
      </c>
      <c r="G1473" s="4" t="s">
        <v>289</v>
      </c>
      <c r="H1473" s="6" t="s">
        <v>272</v>
      </c>
      <c r="I1473" s="4" t="s">
        <v>281</v>
      </c>
      <c r="J1473" s="4" t="s">
        <v>814</v>
      </c>
      <c r="K1473" s="4" t="s">
        <v>280</v>
      </c>
    </row>
    <row r="1474" spans="1:11" ht="15.75" customHeight="1" x14ac:dyDescent="0.2">
      <c r="A1474" s="1">
        <v>25</v>
      </c>
      <c r="B1474" s="4" t="s">
        <v>8</v>
      </c>
      <c r="C1474" s="4" t="s">
        <v>1328</v>
      </c>
      <c r="D1474" s="4" t="s">
        <v>88</v>
      </c>
      <c r="E1474" s="4" t="s">
        <v>17</v>
      </c>
      <c r="F1474" s="4" t="s">
        <v>1327</v>
      </c>
      <c r="G1474" s="7" t="s">
        <v>3</v>
      </c>
      <c r="H1474" s="6" t="s">
        <v>3</v>
      </c>
      <c r="I1474" s="4" t="s">
        <v>86</v>
      </c>
      <c r="J1474" s="4" t="s">
        <v>20</v>
      </c>
      <c r="K1474" s="4" t="s">
        <v>359</v>
      </c>
    </row>
    <row r="1475" spans="1:11" ht="15.75" hidden="1" customHeight="1" x14ac:dyDescent="0.2">
      <c r="B1475" s="4" t="s">
        <v>8</v>
      </c>
      <c r="C1475" s="4" t="s">
        <v>228</v>
      </c>
      <c r="D1475" s="4" t="s">
        <v>36</v>
      </c>
      <c r="E1475" s="4" t="s">
        <v>159</v>
      </c>
      <c r="F1475" s="4" t="s">
        <v>1326</v>
      </c>
      <c r="G1475" s="4" t="s">
        <v>289</v>
      </c>
      <c r="H1475" s="6" t="s">
        <v>272</v>
      </c>
      <c r="I1475" s="4" t="s">
        <v>281</v>
      </c>
      <c r="J1475" s="4" t="s">
        <v>814</v>
      </c>
      <c r="K1475" s="4" t="s">
        <v>280</v>
      </c>
    </row>
    <row r="1476" spans="1:11" ht="15.75" customHeight="1" x14ac:dyDescent="0.2">
      <c r="A1476" s="1">
        <v>26</v>
      </c>
      <c r="B1476" s="4" t="s">
        <v>8</v>
      </c>
      <c r="C1476" s="4" t="s">
        <v>150</v>
      </c>
      <c r="D1476" s="4" t="s">
        <v>150</v>
      </c>
      <c r="E1476" s="4" t="s">
        <v>23</v>
      </c>
      <c r="F1476" s="4" t="s">
        <v>1325</v>
      </c>
      <c r="G1476" s="7" t="s">
        <v>3</v>
      </c>
      <c r="H1476" s="6" t="s">
        <v>3</v>
      </c>
      <c r="I1476" s="4" t="s">
        <v>10</v>
      </c>
      <c r="J1476" s="4" t="s">
        <v>20</v>
      </c>
      <c r="K1476" s="4" t="s">
        <v>0</v>
      </c>
    </row>
    <row r="1477" spans="1:11" ht="15.75" hidden="1" customHeight="1" x14ac:dyDescent="0.2">
      <c r="B1477" s="4" t="s">
        <v>8</v>
      </c>
      <c r="C1477" s="4" t="s">
        <v>228</v>
      </c>
      <c r="D1477" s="4" t="s">
        <v>36</v>
      </c>
      <c r="E1477" s="4" t="s">
        <v>17</v>
      </c>
      <c r="F1477" s="4" t="s">
        <v>1324</v>
      </c>
      <c r="G1477" s="4" t="s">
        <v>289</v>
      </c>
      <c r="H1477" s="6" t="s">
        <v>272</v>
      </c>
      <c r="I1477" s="4" t="s">
        <v>281</v>
      </c>
      <c r="J1477" s="4" t="s">
        <v>50</v>
      </c>
      <c r="K1477" s="4" t="s">
        <v>280</v>
      </c>
    </row>
    <row r="1478" spans="1:11" ht="15.75" customHeight="1" x14ac:dyDescent="0.2">
      <c r="A1478" s="1">
        <v>27</v>
      </c>
      <c r="B1478" s="4" t="s">
        <v>8</v>
      </c>
      <c r="C1478" s="4" t="s">
        <v>150</v>
      </c>
      <c r="D1478" s="4" t="s">
        <v>150</v>
      </c>
      <c r="E1478" s="4" t="s">
        <v>23</v>
      </c>
      <c r="F1478" s="4" t="s">
        <v>1323</v>
      </c>
      <c r="G1478" s="7" t="s">
        <v>199</v>
      </c>
      <c r="H1478" s="6" t="s">
        <v>3</v>
      </c>
      <c r="I1478" s="4" t="s">
        <v>10</v>
      </c>
      <c r="J1478" s="4" t="s">
        <v>15</v>
      </c>
      <c r="K1478" s="4" t="s">
        <v>0</v>
      </c>
    </row>
    <row r="1479" spans="1:11" ht="15.75" hidden="1" customHeight="1" x14ac:dyDescent="0.2">
      <c r="B1479" s="4" t="s">
        <v>8</v>
      </c>
      <c r="C1479" s="4" t="s">
        <v>228</v>
      </c>
      <c r="D1479" s="4" t="s">
        <v>36</v>
      </c>
      <c r="E1479" s="4" t="s">
        <v>159</v>
      </c>
      <c r="F1479" s="4" t="s">
        <v>1322</v>
      </c>
      <c r="G1479" s="4" t="s">
        <v>289</v>
      </c>
      <c r="H1479" s="6" t="s">
        <v>272</v>
      </c>
      <c r="I1479" s="4" t="s">
        <v>281</v>
      </c>
      <c r="J1479" s="4" t="s">
        <v>814</v>
      </c>
      <c r="K1479" s="4" t="s">
        <v>280</v>
      </c>
    </row>
    <row r="1480" spans="1:11" ht="15.75" hidden="1" customHeight="1" x14ac:dyDescent="0.2">
      <c r="B1480" s="4" t="s">
        <v>8</v>
      </c>
      <c r="C1480" s="4" t="s">
        <v>1321</v>
      </c>
      <c r="D1480" s="4" t="s">
        <v>36</v>
      </c>
      <c r="E1480" s="4" t="s">
        <v>17</v>
      </c>
      <c r="F1480" s="4" t="s">
        <v>1320</v>
      </c>
      <c r="G1480" s="4" t="s">
        <v>289</v>
      </c>
      <c r="H1480" s="6" t="s">
        <v>272</v>
      </c>
      <c r="I1480" s="4" t="s">
        <v>281</v>
      </c>
      <c r="J1480" s="4" t="s">
        <v>50</v>
      </c>
      <c r="K1480" s="4" t="s">
        <v>280</v>
      </c>
    </row>
    <row r="1481" spans="1:11" ht="15.75" hidden="1" customHeight="1" x14ac:dyDescent="0.2">
      <c r="B1481" s="4" t="s">
        <v>8</v>
      </c>
      <c r="C1481" s="4" t="s">
        <v>228</v>
      </c>
      <c r="D1481" s="4" t="s">
        <v>36</v>
      </c>
      <c r="E1481" s="4" t="s">
        <v>159</v>
      </c>
      <c r="F1481" s="4" t="s">
        <v>1319</v>
      </c>
      <c r="G1481" s="4" t="s">
        <v>289</v>
      </c>
      <c r="H1481" s="6" t="s">
        <v>272</v>
      </c>
      <c r="I1481" s="4" t="s">
        <v>281</v>
      </c>
      <c r="J1481" s="4" t="s">
        <v>814</v>
      </c>
      <c r="K1481" s="4" t="s">
        <v>280</v>
      </c>
    </row>
    <row r="1482" spans="1:11" ht="15.75" customHeight="1" x14ac:dyDescent="0.2">
      <c r="A1482" s="1">
        <v>28</v>
      </c>
      <c r="B1482" s="4" t="s">
        <v>8</v>
      </c>
      <c r="C1482" s="4" t="s">
        <v>1318</v>
      </c>
      <c r="D1482" s="4" t="s">
        <v>42</v>
      </c>
      <c r="E1482" s="4" t="s">
        <v>81</v>
      </c>
      <c r="F1482" s="4" t="s">
        <v>1317</v>
      </c>
      <c r="G1482" s="7" t="str">
        <f>HYPERLINK("https://zeenews.india.com/news/uttar-pradesh/youth-booked-for-raping-calf-in-uttar-pradesh_1642304.html","News")</f>
        <v>News</v>
      </c>
      <c r="H1482" s="6" t="s">
        <v>3</v>
      </c>
      <c r="I1482" s="4" t="s">
        <v>109</v>
      </c>
      <c r="J1482" s="4" t="s">
        <v>82</v>
      </c>
      <c r="K1482" s="4" t="s">
        <v>108</v>
      </c>
    </row>
    <row r="1483" spans="1:11" ht="15.75" hidden="1" customHeight="1" x14ac:dyDescent="0.2">
      <c r="B1483" s="4" t="s">
        <v>8</v>
      </c>
      <c r="C1483" s="4" t="s">
        <v>95</v>
      </c>
      <c r="D1483" s="4" t="s">
        <v>94</v>
      </c>
      <c r="E1483" s="4" t="s">
        <v>5</v>
      </c>
      <c r="F1483" s="4" t="s">
        <v>1316</v>
      </c>
      <c r="G1483" s="7" t="s">
        <v>11</v>
      </c>
      <c r="H1483" s="6" t="s">
        <v>11</v>
      </c>
      <c r="I1483" s="4" t="s">
        <v>10</v>
      </c>
      <c r="J1483" s="4" t="s">
        <v>15</v>
      </c>
      <c r="K1483" s="4" t="s">
        <v>0</v>
      </c>
    </row>
    <row r="1484" spans="1:11" ht="15.75" hidden="1" customHeight="1" x14ac:dyDescent="0.2">
      <c r="B1484" s="4" t="s">
        <v>8</v>
      </c>
      <c r="C1484" s="4" t="s">
        <v>804</v>
      </c>
      <c r="D1484" s="4" t="s">
        <v>18</v>
      </c>
      <c r="E1484" s="4" t="s">
        <v>5</v>
      </c>
      <c r="F1484" s="4" t="s">
        <v>1315</v>
      </c>
      <c r="G1484" s="4" t="s">
        <v>11</v>
      </c>
      <c r="H1484" s="6" t="s">
        <v>11</v>
      </c>
      <c r="I1484" s="4" t="s">
        <v>2</v>
      </c>
      <c r="J1484" s="4" t="s">
        <v>82</v>
      </c>
      <c r="K1484" s="4" t="s">
        <v>0</v>
      </c>
    </row>
    <row r="1485" spans="1:11" ht="15.75" hidden="1" customHeight="1" x14ac:dyDescent="0.2">
      <c r="B1485" s="4" t="s">
        <v>8</v>
      </c>
      <c r="C1485" s="4" t="s">
        <v>299</v>
      </c>
      <c r="D1485" s="4" t="s">
        <v>28</v>
      </c>
      <c r="E1485" s="4" t="s">
        <v>159</v>
      </c>
      <c r="F1485" s="4" t="s">
        <v>1314</v>
      </c>
      <c r="G1485" s="7" t="s">
        <v>11</v>
      </c>
      <c r="H1485" s="6" t="s">
        <v>11</v>
      </c>
      <c r="I1485" s="4" t="s">
        <v>10</v>
      </c>
      <c r="J1485" s="4" t="s">
        <v>15</v>
      </c>
      <c r="K1485" s="4" t="s">
        <v>0</v>
      </c>
    </row>
    <row r="1486" spans="1:11" ht="15.75" hidden="1" customHeight="1" x14ac:dyDescent="0.2">
      <c r="B1486" s="4" t="s">
        <v>8</v>
      </c>
      <c r="C1486" s="4"/>
      <c r="D1486" s="4" t="s">
        <v>236</v>
      </c>
      <c r="E1486" s="4" t="s">
        <v>159</v>
      </c>
      <c r="F1486" s="4" t="s">
        <v>1313</v>
      </c>
      <c r="G1486" s="4" t="s">
        <v>348</v>
      </c>
      <c r="H1486" s="6" t="s">
        <v>11</v>
      </c>
      <c r="I1486" s="4" t="s">
        <v>30</v>
      </c>
      <c r="J1486" s="4" t="s">
        <v>15</v>
      </c>
      <c r="K1486" s="4" t="s">
        <v>34</v>
      </c>
    </row>
    <row r="1487" spans="1:11" ht="15.75" hidden="1" customHeight="1" x14ac:dyDescent="0.2">
      <c r="B1487" s="4" t="s">
        <v>8</v>
      </c>
      <c r="C1487" s="4" t="s">
        <v>228</v>
      </c>
      <c r="D1487" s="4" t="s">
        <v>36</v>
      </c>
      <c r="E1487" s="4" t="s">
        <v>159</v>
      </c>
      <c r="F1487" s="4" t="s">
        <v>1312</v>
      </c>
      <c r="G1487" s="4" t="s">
        <v>289</v>
      </c>
      <c r="H1487" s="6" t="s">
        <v>272</v>
      </c>
      <c r="I1487" s="4" t="s">
        <v>281</v>
      </c>
      <c r="J1487" s="4" t="s">
        <v>50</v>
      </c>
      <c r="K1487" s="4" t="s">
        <v>280</v>
      </c>
    </row>
    <row r="1488" spans="1:11" ht="15.75" hidden="1" customHeight="1" x14ac:dyDescent="0.2">
      <c r="B1488" s="4" t="s">
        <v>8</v>
      </c>
      <c r="C1488" s="4" t="s">
        <v>95</v>
      </c>
      <c r="D1488" s="4" t="s">
        <v>94</v>
      </c>
      <c r="E1488" s="4" t="s">
        <v>5</v>
      </c>
      <c r="F1488" s="4" t="s">
        <v>1311</v>
      </c>
      <c r="G1488" s="7" t="s">
        <v>11</v>
      </c>
      <c r="H1488" s="6" t="s">
        <v>11</v>
      </c>
      <c r="I1488" s="4" t="s">
        <v>10</v>
      </c>
      <c r="J1488" s="4" t="s">
        <v>15</v>
      </c>
      <c r="K1488" s="4" t="s">
        <v>0</v>
      </c>
    </row>
    <row r="1489" spans="1:11" ht="15.75" hidden="1" customHeight="1" x14ac:dyDescent="0.2">
      <c r="B1489" s="4" t="s">
        <v>8</v>
      </c>
      <c r="C1489" s="4" t="s">
        <v>111</v>
      </c>
      <c r="D1489" s="4" t="s">
        <v>24</v>
      </c>
      <c r="E1489" s="4" t="s">
        <v>81</v>
      </c>
      <c r="F1489" s="4" t="s">
        <v>1310</v>
      </c>
      <c r="G1489" s="4" t="s">
        <v>447</v>
      </c>
      <c r="H1489" s="6" t="s">
        <v>272</v>
      </c>
      <c r="I1489" s="4" t="s">
        <v>10</v>
      </c>
      <c r="J1489" s="4" t="s">
        <v>20</v>
      </c>
      <c r="K1489" s="4" t="s">
        <v>0</v>
      </c>
    </row>
    <row r="1490" spans="1:11" ht="15.75" hidden="1" customHeight="1" x14ac:dyDescent="0.2">
      <c r="B1490" s="4" t="s">
        <v>8</v>
      </c>
      <c r="C1490" s="4" t="s">
        <v>527</v>
      </c>
      <c r="D1490" s="4" t="s">
        <v>18</v>
      </c>
      <c r="E1490" s="4" t="s">
        <v>81</v>
      </c>
      <c r="F1490" s="4" t="s">
        <v>1309</v>
      </c>
      <c r="G1490" s="4" t="s">
        <v>1008</v>
      </c>
      <c r="H1490" s="6" t="s">
        <v>1301</v>
      </c>
      <c r="I1490" s="4" t="s">
        <v>10</v>
      </c>
      <c r="J1490" s="4" t="s">
        <v>82</v>
      </c>
      <c r="K1490" s="4" t="s">
        <v>0</v>
      </c>
    </row>
    <row r="1491" spans="1:11" ht="15.75" hidden="1" customHeight="1" x14ac:dyDescent="0.2">
      <c r="B1491" s="4" t="s">
        <v>8</v>
      </c>
      <c r="C1491" s="4" t="s">
        <v>95</v>
      </c>
      <c r="D1491" s="4" t="s">
        <v>94</v>
      </c>
      <c r="E1491" s="4" t="s">
        <v>159</v>
      </c>
      <c r="F1491" s="4" t="s">
        <v>1308</v>
      </c>
      <c r="G1491" s="7" t="s">
        <v>11</v>
      </c>
      <c r="H1491" s="6" t="s">
        <v>11</v>
      </c>
      <c r="I1491" s="4" t="s">
        <v>10</v>
      </c>
      <c r="J1491" s="4" t="s">
        <v>15</v>
      </c>
      <c r="K1491" s="4" t="s">
        <v>57</v>
      </c>
    </row>
    <row r="1492" spans="1:11" ht="15.75" hidden="1" customHeight="1" x14ac:dyDescent="0.2">
      <c r="B1492" s="4" t="s">
        <v>8</v>
      </c>
      <c r="C1492" s="4" t="s">
        <v>104</v>
      </c>
      <c r="D1492" s="4" t="s">
        <v>18</v>
      </c>
      <c r="E1492" s="4" t="s">
        <v>159</v>
      </c>
      <c r="F1492" s="4" t="s">
        <v>1307</v>
      </c>
      <c r="G1492" s="7" t="str">
        <f>HYPERLINK("https://www.facebook.com/amtmindia/photos/a.818858761459605/1060102474001898/?type=3","Social media")</f>
        <v>Social media</v>
      </c>
      <c r="H1492" s="6" t="s">
        <v>11</v>
      </c>
      <c r="I1492" s="4" t="s">
        <v>10</v>
      </c>
      <c r="J1492" s="4" t="s">
        <v>15</v>
      </c>
      <c r="K1492" s="4" t="s">
        <v>0</v>
      </c>
    </row>
    <row r="1493" spans="1:11" ht="15.75" hidden="1" customHeight="1" x14ac:dyDescent="0.2">
      <c r="B1493" s="4" t="s">
        <v>8</v>
      </c>
      <c r="C1493" s="4" t="s">
        <v>95</v>
      </c>
      <c r="D1493" s="4" t="s">
        <v>94</v>
      </c>
      <c r="E1493" s="4" t="s">
        <v>5</v>
      </c>
      <c r="F1493" s="4" t="s">
        <v>1306</v>
      </c>
      <c r="G1493" s="7" t="s">
        <v>11</v>
      </c>
      <c r="H1493" s="6" t="s">
        <v>11</v>
      </c>
      <c r="I1493" s="4" t="s">
        <v>10</v>
      </c>
      <c r="J1493" s="4" t="s">
        <v>15</v>
      </c>
      <c r="K1493" s="4" t="s">
        <v>0</v>
      </c>
    </row>
    <row r="1494" spans="1:11" ht="15.75" hidden="1" customHeight="1" x14ac:dyDescent="0.2">
      <c r="B1494" s="4" t="s">
        <v>8</v>
      </c>
      <c r="C1494" s="4" t="s">
        <v>228</v>
      </c>
      <c r="D1494" s="4" t="s">
        <v>36</v>
      </c>
      <c r="E1494" s="4" t="s">
        <v>159</v>
      </c>
      <c r="F1494" s="4" t="s">
        <v>1305</v>
      </c>
      <c r="G1494" s="7" t="str">
        <f>HYPERLINK("https://www.facebook.com/watch/?v=678263682330684","Social media")</f>
        <v>Social media</v>
      </c>
      <c r="H1494" s="6" t="s">
        <v>11</v>
      </c>
      <c r="I1494" s="4" t="s">
        <v>281</v>
      </c>
      <c r="J1494" s="4" t="s">
        <v>1</v>
      </c>
      <c r="K1494" s="4" t="s">
        <v>1304</v>
      </c>
    </row>
    <row r="1495" spans="1:11" ht="15.75" hidden="1" customHeight="1" x14ac:dyDescent="0.2">
      <c r="B1495" s="4" t="s">
        <v>8</v>
      </c>
      <c r="C1495" s="4" t="s">
        <v>228</v>
      </c>
      <c r="D1495" s="4" t="s">
        <v>36</v>
      </c>
      <c r="E1495" s="4" t="s">
        <v>159</v>
      </c>
      <c r="F1495" s="4" t="s">
        <v>1303</v>
      </c>
      <c r="G1495" s="4" t="s">
        <v>289</v>
      </c>
      <c r="H1495" s="6" t="s">
        <v>272</v>
      </c>
      <c r="I1495" s="4" t="s">
        <v>21</v>
      </c>
      <c r="J1495" s="4" t="s">
        <v>50</v>
      </c>
      <c r="K1495" s="4" t="s">
        <v>288</v>
      </c>
    </row>
    <row r="1496" spans="1:11" ht="15.75" hidden="1" customHeight="1" x14ac:dyDescent="0.2">
      <c r="B1496" s="4" t="s">
        <v>8</v>
      </c>
      <c r="C1496" s="4"/>
      <c r="D1496" s="4" t="s">
        <v>18</v>
      </c>
      <c r="E1496" s="4" t="s">
        <v>5</v>
      </c>
      <c r="F1496" s="4" t="s">
        <v>1302</v>
      </c>
      <c r="G1496" s="7" t="s">
        <v>1008</v>
      </c>
      <c r="H1496" s="6" t="s">
        <v>1301</v>
      </c>
      <c r="I1496" s="4" t="s">
        <v>10</v>
      </c>
      <c r="J1496" s="4" t="s">
        <v>82</v>
      </c>
      <c r="K1496" s="4" t="s">
        <v>0</v>
      </c>
    </row>
    <row r="1497" spans="1:11" ht="15.75" hidden="1" customHeight="1" x14ac:dyDescent="0.2">
      <c r="B1497" s="4" t="s">
        <v>8</v>
      </c>
      <c r="C1497" s="4" t="s">
        <v>228</v>
      </c>
      <c r="D1497" s="4" t="s">
        <v>36</v>
      </c>
      <c r="E1497" s="4" t="s">
        <v>159</v>
      </c>
      <c r="F1497" s="4" t="s">
        <v>1300</v>
      </c>
      <c r="G1497" s="4" t="s">
        <v>289</v>
      </c>
      <c r="H1497" s="6" t="s">
        <v>272</v>
      </c>
      <c r="I1497" s="4" t="s">
        <v>281</v>
      </c>
      <c r="J1497" s="4" t="s">
        <v>814</v>
      </c>
      <c r="K1497" s="4" t="s">
        <v>538</v>
      </c>
    </row>
    <row r="1498" spans="1:11" ht="15.75" hidden="1" customHeight="1" x14ac:dyDescent="0.2">
      <c r="B1498" s="4" t="s">
        <v>8</v>
      </c>
      <c r="C1498" s="4" t="s">
        <v>664</v>
      </c>
      <c r="D1498" s="4" t="s">
        <v>236</v>
      </c>
      <c r="E1498" s="4" t="s">
        <v>159</v>
      </c>
      <c r="F1498" s="4" t="s">
        <v>1299</v>
      </c>
      <c r="G1498" s="7" t="str">
        <f>HYPERLINK("https://www.facebook.com/wag.india/posts/474911166025277:0","Social media")</f>
        <v>Social media</v>
      </c>
      <c r="H1498" s="6" t="s">
        <v>11</v>
      </c>
      <c r="I1498" s="4" t="s">
        <v>10</v>
      </c>
      <c r="J1498" s="4" t="s">
        <v>15</v>
      </c>
      <c r="K1498" s="4" t="s">
        <v>57</v>
      </c>
    </row>
    <row r="1499" spans="1:11" ht="15.75" customHeight="1" x14ac:dyDescent="0.2">
      <c r="A1499" s="1">
        <v>29</v>
      </c>
      <c r="B1499" s="4" t="s">
        <v>8</v>
      </c>
      <c r="C1499" s="4" t="s">
        <v>1298</v>
      </c>
      <c r="D1499" s="4" t="s">
        <v>59</v>
      </c>
      <c r="E1499" s="4" t="s">
        <v>55</v>
      </c>
      <c r="F1499" s="4" t="s">
        <v>1297</v>
      </c>
      <c r="G1499" s="7" t="s">
        <v>3</v>
      </c>
      <c r="H1499" s="6" t="s">
        <v>3</v>
      </c>
      <c r="I1499" s="4" t="s">
        <v>197</v>
      </c>
      <c r="J1499" s="4" t="s">
        <v>1</v>
      </c>
      <c r="K1499" s="4" t="s">
        <v>33</v>
      </c>
    </row>
    <row r="1500" spans="1:11" ht="15.75" hidden="1" customHeight="1" x14ac:dyDescent="0.2">
      <c r="B1500" s="4" t="s">
        <v>8</v>
      </c>
      <c r="C1500" s="4" t="s">
        <v>228</v>
      </c>
      <c r="D1500" s="4" t="s">
        <v>36</v>
      </c>
      <c r="E1500" s="4" t="s">
        <v>159</v>
      </c>
      <c r="F1500" s="4" t="s">
        <v>1296</v>
      </c>
      <c r="G1500" s="4" t="s">
        <v>289</v>
      </c>
      <c r="H1500" s="6" t="s">
        <v>272</v>
      </c>
      <c r="I1500" s="4" t="s">
        <v>1241</v>
      </c>
      <c r="J1500" s="4" t="s">
        <v>814</v>
      </c>
      <c r="K1500" s="4" t="s">
        <v>538</v>
      </c>
    </row>
    <row r="1501" spans="1:11" ht="15.75" customHeight="1" x14ac:dyDescent="0.2">
      <c r="A1501" s="1">
        <v>30</v>
      </c>
      <c r="B1501" s="4" t="s">
        <v>8</v>
      </c>
      <c r="C1501" s="4" t="s">
        <v>98</v>
      </c>
      <c r="D1501" s="4" t="s">
        <v>97</v>
      </c>
      <c r="E1501" s="4" t="s">
        <v>159</v>
      </c>
      <c r="F1501" s="4" t="s">
        <v>1295</v>
      </c>
      <c r="G1501" s="7" t="str">
        <f>HYPERLINK("http://dailyindiamail.com/?p=52160","News")</f>
        <v>News</v>
      </c>
      <c r="H1501" s="6" t="s">
        <v>3</v>
      </c>
      <c r="I1501" s="4" t="s">
        <v>197</v>
      </c>
      <c r="J1501" s="4" t="s">
        <v>157</v>
      </c>
      <c r="K1501" s="4" t="s">
        <v>432</v>
      </c>
    </row>
    <row r="1502" spans="1:11" ht="15.75" hidden="1" customHeight="1" x14ac:dyDescent="0.2">
      <c r="B1502" s="4" t="s">
        <v>8</v>
      </c>
      <c r="C1502" s="4" t="s">
        <v>95</v>
      </c>
      <c r="D1502" s="4" t="s">
        <v>94</v>
      </c>
      <c r="E1502" s="4" t="s">
        <v>159</v>
      </c>
      <c r="F1502" s="4" t="s">
        <v>1294</v>
      </c>
      <c r="G1502" s="7" t="s">
        <v>11</v>
      </c>
      <c r="H1502" s="6" t="s">
        <v>11</v>
      </c>
      <c r="I1502" s="4" t="s">
        <v>10</v>
      </c>
      <c r="J1502" s="4" t="s">
        <v>15</v>
      </c>
      <c r="K1502" s="4" t="s">
        <v>0</v>
      </c>
    </row>
    <row r="1503" spans="1:11" ht="15.75" hidden="1" customHeight="1" x14ac:dyDescent="0.2">
      <c r="B1503" s="4" t="s">
        <v>8</v>
      </c>
      <c r="C1503" s="4" t="s">
        <v>95</v>
      </c>
      <c r="D1503" s="4" t="s">
        <v>94</v>
      </c>
      <c r="E1503" s="4" t="s">
        <v>5</v>
      </c>
      <c r="F1503" s="4" t="s">
        <v>1293</v>
      </c>
      <c r="G1503" s="7" t="s">
        <v>11</v>
      </c>
      <c r="H1503" s="6" t="s">
        <v>11</v>
      </c>
      <c r="I1503" s="4" t="s">
        <v>10</v>
      </c>
      <c r="J1503" s="4" t="s">
        <v>15</v>
      </c>
      <c r="K1503" s="4" t="s">
        <v>57</v>
      </c>
    </row>
    <row r="1504" spans="1:11" ht="15.75" hidden="1" customHeight="1" x14ac:dyDescent="0.2">
      <c r="B1504" s="4" t="s">
        <v>8</v>
      </c>
      <c r="C1504" s="4" t="s">
        <v>228</v>
      </c>
      <c r="D1504" s="4" t="s">
        <v>36</v>
      </c>
      <c r="E1504" s="4" t="s">
        <v>17</v>
      </c>
      <c r="F1504" s="4" t="s">
        <v>1292</v>
      </c>
      <c r="G1504" s="4" t="s">
        <v>289</v>
      </c>
      <c r="H1504" s="6" t="s">
        <v>272</v>
      </c>
      <c r="I1504" s="4" t="s">
        <v>281</v>
      </c>
      <c r="J1504" s="4" t="s">
        <v>618</v>
      </c>
      <c r="K1504" s="4" t="s">
        <v>280</v>
      </c>
    </row>
    <row r="1505" spans="1:11" ht="15.75" hidden="1" customHeight="1" x14ac:dyDescent="0.2">
      <c r="B1505" s="4" t="s">
        <v>8</v>
      </c>
      <c r="C1505" s="4" t="s">
        <v>228</v>
      </c>
      <c r="D1505" s="4" t="s">
        <v>36</v>
      </c>
      <c r="E1505" s="4" t="s">
        <v>17</v>
      </c>
      <c r="F1505" s="4" t="s">
        <v>1291</v>
      </c>
      <c r="G1505" s="4" t="s">
        <v>289</v>
      </c>
      <c r="H1505" s="6" t="s">
        <v>272</v>
      </c>
      <c r="I1505" s="4" t="s">
        <v>281</v>
      </c>
      <c r="J1505" s="4" t="s">
        <v>618</v>
      </c>
      <c r="K1505" s="4" t="s">
        <v>280</v>
      </c>
    </row>
    <row r="1506" spans="1:11" ht="15.75" hidden="1" customHeight="1" x14ac:dyDescent="0.2">
      <c r="B1506" s="4" t="s">
        <v>8</v>
      </c>
      <c r="C1506" s="4"/>
      <c r="D1506" s="4" t="s">
        <v>236</v>
      </c>
      <c r="E1506" s="4" t="s">
        <v>17</v>
      </c>
      <c r="F1506" s="4" t="s">
        <v>1290</v>
      </c>
      <c r="G1506" s="7" t="str">
        <f>HYPERLINK("https://www.facebook.com/wag.india/posts/487481798101547:0","Social media")</f>
        <v>Social media</v>
      </c>
      <c r="H1506" s="6" t="s">
        <v>11</v>
      </c>
      <c r="I1506" s="4" t="s">
        <v>10</v>
      </c>
      <c r="J1506" s="4" t="s">
        <v>20</v>
      </c>
      <c r="K1506" s="4" t="s">
        <v>0</v>
      </c>
    </row>
    <row r="1507" spans="1:11" ht="15.75" hidden="1" customHeight="1" x14ac:dyDescent="0.2">
      <c r="B1507" s="4" t="s">
        <v>8</v>
      </c>
      <c r="C1507" s="4" t="s">
        <v>139</v>
      </c>
      <c r="D1507" s="4" t="s">
        <v>18</v>
      </c>
      <c r="E1507" s="4" t="s">
        <v>17</v>
      </c>
      <c r="F1507" s="4" t="s">
        <v>1289</v>
      </c>
      <c r="G1507" s="7" t="s">
        <v>11</v>
      </c>
      <c r="H1507" s="6" t="s">
        <v>11</v>
      </c>
      <c r="I1507" s="4" t="s">
        <v>10</v>
      </c>
      <c r="J1507" s="4" t="s">
        <v>20</v>
      </c>
      <c r="K1507" s="4" t="s">
        <v>0</v>
      </c>
    </row>
    <row r="1508" spans="1:11" ht="15.75" hidden="1" customHeight="1" x14ac:dyDescent="0.2">
      <c r="B1508" s="4" t="s">
        <v>8</v>
      </c>
      <c r="C1508" s="4" t="s">
        <v>228</v>
      </c>
      <c r="D1508" s="4" t="s">
        <v>36</v>
      </c>
      <c r="E1508" s="4" t="s">
        <v>159</v>
      </c>
      <c r="F1508" s="4" t="s">
        <v>1288</v>
      </c>
      <c r="G1508" s="4" t="s">
        <v>289</v>
      </c>
      <c r="H1508" s="6" t="s">
        <v>272</v>
      </c>
      <c r="I1508" s="4" t="s">
        <v>281</v>
      </c>
      <c r="J1508" s="4" t="s">
        <v>814</v>
      </c>
      <c r="K1508" s="4" t="s">
        <v>280</v>
      </c>
    </row>
    <row r="1509" spans="1:11" ht="15.75" hidden="1" customHeight="1" x14ac:dyDescent="0.2">
      <c r="B1509" s="4" t="s">
        <v>8</v>
      </c>
      <c r="C1509" s="4" t="s">
        <v>228</v>
      </c>
      <c r="D1509" s="4" t="s">
        <v>36</v>
      </c>
      <c r="E1509" s="4" t="s">
        <v>159</v>
      </c>
      <c r="F1509" s="4" t="s">
        <v>1287</v>
      </c>
      <c r="G1509" s="4" t="s">
        <v>289</v>
      </c>
      <c r="H1509" s="6" t="s">
        <v>272</v>
      </c>
      <c r="I1509" s="4" t="s">
        <v>281</v>
      </c>
      <c r="J1509" s="4" t="s">
        <v>334</v>
      </c>
      <c r="K1509" s="4" t="s">
        <v>280</v>
      </c>
    </row>
    <row r="1510" spans="1:11" ht="15.75" hidden="1" customHeight="1" x14ac:dyDescent="0.2">
      <c r="B1510" s="4" t="s">
        <v>8</v>
      </c>
      <c r="C1510" s="4" t="s">
        <v>228</v>
      </c>
      <c r="D1510" s="4" t="s">
        <v>36</v>
      </c>
      <c r="E1510" s="4" t="s">
        <v>159</v>
      </c>
      <c r="F1510" s="4" t="s">
        <v>1286</v>
      </c>
      <c r="G1510" s="4" t="s">
        <v>289</v>
      </c>
      <c r="H1510" s="6" t="s">
        <v>272</v>
      </c>
      <c r="I1510" s="4" t="s">
        <v>281</v>
      </c>
      <c r="J1510" s="4" t="s">
        <v>814</v>
      </c>
      <c r="K1510" s="4" t="s">
        <v>280</v>
      </c>
    </row>
    <row r="1511" spans="1:11" ht="15.75" hidden="1" customHeight="1" x14ac:dyDescent="0.2">
      <c r="B1511" s="4" t="s">
        <v>8</v>
      </c>
      <c r="C1511" s="4" t="s">
        <v>228</v>
      </c>
      <c r="D1511" s="4" t="s">
        <v>36</v>
      </c>
      <c r="E1511" s="4" t="s">
        <v>159</v>
      </c>
      <c r="F1511" s="4" t="s">
        <v>1285</v>
      </c>
      <c r="G1511" s="4" t="s">
        <v>289</v>
      </c>
      <c r="H1511" s="6" t="s">
        <v>272</v>
      </c>
      <c r="I1511" s="4" t="s">
        <v>281</v>
      </c>
      <c r="J1511" s="4" t="s">
        <v>814</v>
      </c>
      <c r="K1511" s="4" t="s">
        <v>280</v>
      </c>
    </row>
    <row r="1512" spans="1:11" ht="15.75" customHeight="1" x14ac:dyDescent="0.2">
      <c r="A1512" s="1">
        <v>31</v>
      </c>
      <c r="B1512" s="4" t="s">
        <v>8</v>
      </c>
      <c r="C1512" s="4" t="s">
        <v>1284</v>
      </c>
      <c r="D1512" s="4" t="s">
        <v>47</v>
      </c>
      <c r="E1512" s="4" t="s">
        <v>5</v>
      </c>
      <c r="F1512" s="4" t="s">
        <v>1283</v>
      </c>
      <c r="G1512" s="7" t="str">
        <f>HYPERLINK("http://indianexpress.com/article/india/cops-in-assam-district-rescue-75-dogs-bound-for-nagaland-4642153/","News")</f>
        <v>News</v>
      </c>
      <c r="H1512" s="6" t="s">
        <v>3</v>
      </c>
      <c r="I1512" s="4" t="s">
        <v>2</v>
      </c>
      <c r="J1512" s="4" t="s">
        <v>1</v>
      </c>
      <c r="K1512" s="4" t="s">
        <v>0</v>
      </c>
    </row>
    <row r="1513" spans="1:11" ht="15.75" hidden="1" customHeight="1" x14ac:dyDescent="0.2">
      <c r="B1513" s="4" t="s">
        <v>8</v>
      </c>
      <c r="C1513" s="4" t="s">
        <v>228</v>
      </c>
      <c r="D1513" s="4" t="s">
        <v>36</v>
      </c>
      <c r="E1513" s="4" t="s">
        <v>5</v>
      </c>
      <c r="F1513" s="4" t="s">
        <v>1282</v>
      </c>
      <c r="G1513" s="4" t="s">
        <v>289</v>
      </c>
      <c r="H1513" s="6" t="s">
        <v>272</v>
      </c>
      <c r="I1513" s="4" t="s">
        <v>148</v>
      </c>
      <c r="J1513" s="4" t="s">
        <v>618</v>
      </c>
      <c r="K1513" s="4" t="s">
        <v>280</v>
      </c>
    </row>
    <row r="1514" spans="1:11" ht="15.75" customHeight="1" x14ac:dyDescent="0.2">
      <c r="A1514" s="1">
        <v>32</v>
      </c>
      <c r="B1514" s="4" t="s">
        <v>8</v>
      </c>
      <c r="C1514" s="4" t="s">
        <v>507</v>
      </c>
      <c r="D1514" s="4" t="s">
        <v>150</v>
      </c>
      <c r="E1514" s="4" t="s">
        <v>23</v>
      </c>
      <c r="F1514" s="4" t="s">
        <v>1281</v>
      </c>
      <c r="G1514" s="7" t="s">
        <v>3</v>
      </c>
      <c r="H1514" s="6" t="s">
        <v>3</v>
      </c>
      <c r="I1514" s="4" t="s">
        <v>109</v>
      </c>
      <c r="J1514" s="4" t="s">
        <v>82</v>
      </c>
      <c r="K1514" s="4" t="s">
        <v>108</v>
      </c>
    </row>
    <row r="1515" spans="1:11" ht="15.75" customHeight="1" x14ac:dyDescent="0.2">
      <c r="A1515" s="1">
        <v>33</v>
      </c>
      <c r="B1515" s="4" t="s">
        <v>8</v>
      </c>
      <c r="C1515" s="4" t="s">
        <v>1090</v>
      </c>
      <c r="D1515" s="4" t="s">
        <v>66</v>
      </c>
      <c r="E1515" s="4" t="s">
        <v>27</v>
      </c>
      <c r="F1515" s="4" t="s">
        <v>1280</v>
      </c>
      <c r="G1515" s="7" t="s">
        <v>3</v>
      </c>
      <c r="H1515" s="6" t="s">
        <v>3</v>
      </c>
      <c r="I1515" s="4" t="s">
        <v>10</v>
      </c>
      <c r="J1515" s="4" t="s">
        <v>20</v>
      </c>
      <c r="K1515" s="4" t="s">
        <v>0</v>
      </c>
    </row>
    <row r="1516" spans="1:11" ht="15.75" hidden="1" customHeight="1" x14ac:dyDescent="0.2">
      <c r="B1516" s="4" t="s">
        <v>8</v>
      </c>
      <c r="C1516" s="4" t="s">
        <v>878</v>
      </c>
      <c r="D1516" s="4" t="s">
        <v>877</v>
      </c>
      <c r="E1516" s="4" t="s">
        <v>5</v>
      </c>
      <c r="F1516" s="4" t="s">
        <v>1279</v>
      </c>
      <c r="G1516" s="7" t="str">
        <f>HYPERLINK("https://www.facebook.com/hopeandanimal/posts/1077917248896643","Social Media")</f>
        <v>Social Media</v>
      </c>
      <c r="H1516" s="6" t="s">
        <v>11</v>
      </c>
      <c r="I1516" s="4" t="s">
        <v>10</v>
      </c>
      <c r="J1516" s="4" t="s">
        <v>15</v>
      </c>
      <c r="K1516" s="4" t="s">
        <v>0</v>
      </c>
    </row>
    <row r="1517" spans="1:11" ht="15.75" hidden="1" customHeight="1" x14ac:dyDescent="0.2">
      <c r="B1517" s="4" t="s">
        <v>8</v>
      </c>
      <c r="C1517" s="4" t="s">
        <v>1278</v>
      </c>
      <c r="D1517" s="4" t="s">
        <v>77</v>
      </c>
      <c r="E1517" s="4" t="s">
        <v>159</v>
      </c>
      <c r="F1517" s="4" t="s">
        <v>1277</v>
      </c>
      <c r="G1517" s="7" t="str">
        <f>HYPERLINK("https://www.facebook.com/PeoplesAnimalWelfareSociety/posts/558521357592328","Social media")</f>
        <v>Social media</v>
      </c>
      <c r="H1517" s="6" t="s">
        <v>11</v>
      </c>
      <c r="I1517" s="4" t="s">
        <v>10</v>
      </c>
      <c r="J1517" s="4" t="s">
        <v>424</v>
      </c>
      <c r="K1517" s="4" t="s">
        <v>0</v>
      </c>
    </row>
    <row r="1518" spans="1:11" ht="15.75" hidden="1" customHeight="1" x14ac:dyDescent="0.2">
      <c r="B1518" s="4" t="s">
        <v>8</v>
      </c>
      <c r="C1518" s="4" t="s">
        <v>139</v>
      </c>
      <c r="D1518" s="4" t="s">
        <v>18</v>
      </c>
      <c r="E1518" s="4" t="s">
        <v>17</v>
      </c>
      <c r="F1518" s="4" t="s">
        <v>1276</v>
      </c>
      <c r="G1518" s="7" t="str">
        <f>HYPERLINK("https://www.facebook.com/vosd.in/posts/2696484960395219","Social media")</f>
        <v>Social media</v>
      </c>
      <c r="H1518" s="6" t="s">
        <v>11</v>
      </c>
      <c r="I1518" s="4" t="s">
        <v>10</v>
      </c>
      <c r="J1518" s="4" t="s">
        <v>82</v>
      </c>
      <c r="K1518" s="4" t="s">
        <v>0</v>
      </c>
    </row>
    <row r="1519" spans="1:11" ht="15.75" hidden="1" customHeight="1" x14ac:dyDescent="0.2">
      <c r="B1519" s="4" t="s">
        <v>8</v>
      </c>
      <c r="C1519" s="4"/>
      <c r="D1519" s="4" t="s">
        <v>236</v>
      </c>
      <c r="E1519" s="4" t="s">
        <v>159</v>
      </c>
      <c r="F1519" s="4" t="s">
        <v>1275</v>
      </c>
      <c r="G1519" s="7" t="s">
        <v>1204</v>
      </c>
      <c r="H1519" s="6" t="s">
        <v>272</v>
      </c>
      <c r="I1519" s="4" t="s">
        <v>30</v>
      </c>
      <c r="J1519" s="4" t="s">
        <v>15</v>
      </c>
      <c r="K1519" s="4" t="s">
        <v>0</v>
      </c>
    </row>
    <row r="1520" spans="1:11" ht="15.75" customHeight="1" x14ac:dyDescent="0.2">
      <c r="A1520" s="1">
        <v>34</v>
      </c>
      <c r="B1520" s="4" t="s">
        <v>8</v>
      </c>
      <c r="C1520" s="4" t="s">
        <v>426</v>
      </c>
      <c r="D1520" s="4" t="s">
        <v>154</v>
      </c>
      <c r="E1520" s="4" t="s">
        <v>55</v>
      </c>
      <c r="F1520" s="4" t="s">
        <v>1274</v>
      </c>
      <c r="G1520" s="7" t="s">
        <v>3</v>
      </c>
      <c r="H1520" s="6" t="s">
        <v>3</v>
      </c>
      <c r="I1520" s="4" t="s">
        <v>10</v>
      </c>
      <c r="J1520" s="4" t="s">
        <v>20</v>
      </c>
      <c r="K1520" s="4" t="s">
        <v>0</v>
      </c>
    </row>
    <row r="1521" spans="1:11" ht="15.75" hidden="1" customHeight="1" x14ac:dyDescent="0.2">
      <c r="B1521" s="4" t="s">
        <v>8</v>
      </c>
      <c r="C1521" s="4" t="s">
        <v>299</v>
      </c>
      <c r="D1521" s="4" t="s">
        <v>28</v>
      </c>
      <c r="E1521" s="4" t="s">
        <v>17</v>
      </c>
      <c r="F1521" s="4" t="s">
        <v>1273</v>
      </c>
      <c r="G1521" s="7" t="s">
        <v>11</v>
      </c>
      <c r="H1521" s="6" t="s">
        <v>11</v>
      </c>
      <c r="I1521" s="4" t="s">
        <v>197</v>
      </c>
      <c r="J1521" s="4" t="s">
        <v>50</v>
      </c>
      <c r="K1521" s="4" t="s">
        <v>1272</v>
      </c>
    </row>
    <row r="1522" spans="1:11" ht="15.75" customHeight="1" x14ac:dyDescent="0.2">
      <c r="A1522" s="1">
        <v>35</v>
      </c>
      <c r="B1522" s="4" t="s">
        <v>8</v>
      </c>
      <c r="C1522" s="4" t="s">
        <v>804</v>
      </c>
      <c r="D1522" s="4" t="s">
        <v>18</v>
      </c>
      <c r="E1522" s="4" t="s">
        <v>5</v>
      </c>
      <c r="F1522" s="4" t="s">
        <v>1271</v>
      </c>
      <c r="G1522" s="7" t="s">
        <v>3</v>
      </c>
      <c r="H1522" s="6" t="s">
        <v>3</v>
      </c>
      <c r="I1522" s="4" t="s">
        <v>10</v>
      </c>
      <c r="J1522" s="4" t="s">
        <v>50</v>
      </c>
      <c r="K1522" s="4" t="s">
        <v>19</v>
      </c>
    </row>
    <row r="1523" spans="1:11" ht="15.75" customHeight="1" x14ac:dyDescent="0.2">
      <c r="A1523" s="1">
        <v>36</v>
      </c>
      <c r="B1523" s="4" t="s">
        <v>8</v>
      </c>
      <c r="C1523" s="4" t="s">
        <v>104</v>
      </c>
      <c r="D1523" s="4" t="s">
        <v>18</v>
      </c>
      <c r="E1523" s="4" t="s">
        <v>5</v>
      </c>
      <c r="F1523" s="4" t="s">
        <v>1270</v>
      </c>
      <c r="G1523" s="7" t="s">
        <v>3</v>
      </c>
      <c r="H1523" s="6" t="s">
        <v>3</v>
      </c>
      <c r="I1523" s="4" t="s">
        <v>10</v>
      </c>
      <c r="J1523" s="4" t="s">
        <v>50</v>
      </c>
      <c r="K1523" s="4" t="s">
        <v>19</v>
      </c>
    </row>
    <row r="1524" spans="1:11" ht="15.75" hidden="1" customHeight="1" x14ac:dyDescent="0.2">
      <c r="B1524" s="4" t="s">
        <v>8</v>
      </c>
      <c r="C1524" s="4" t="s">
        <v>89</v>
      </c>
      <c r="D1524" s="4" t="s">
        <v>88</v>
      </c>
      <c r="E1524" s="4" t="s">
        <v>5</v>
      </c>
      <c r="F1524" s="4" t="s">
        <v>1269</v>
      </c>
      <c r="G1524" s="7" t="s">
        <v>11</v>
      </c>
      <c r="H1524" s="6" t="s">
        <v>11</v>
      </c>
      <c r="I1524" s="4" t="s">
        <v>10</v>
      </c>
      <c r="J1524" s="4" t="s">
        <v>15</v>
      </c>
      <c r="K1524" s="4" t="s">
        <v>0</v>
      </c>
    </row>
    <row r="1525" spans="1:11" ht="15.75" hidden="1" customHeight="1" x14ac:dyDescent="0.2">
      <c r="B1525" s="4" t="s">
        <v>8</v>
      </c>
      <c r="C1525" s="4"/>
      <c r="D1525" s="4" t="s">
        <v>236</v>
      </c>
      <c r="E1525" s="4" t="s">
        <v>159</v>
      </c>
      <c r="F1525" s="4" t="s">
        <v>1268</v>
      </c>
      <c r="G1525" s="7" t="str">
        <f>HYPERLINK("https://www.facebook.com/groups/1667058386874380/permalink/1738646309715587/","Social media")</f>
        <v>Social media</v>
      </c>
      <c r="H1525" s="6" t="s">
        <v>11</v>
      </c>
      <c r="I1525" s="4" t="s">
        <v>10</v>
      </c>
      <c r="J1525" s="4" t="s">
        <v>15</v>
      </c>
      <c r="K1525" s="4" t="s">
        <v>0</v>
      </c>
    </row>
    <row r="1526" spans="1:11" ht="15.75" hidden="1" customHeight="1" x14ac:dyDescent="0.2">
      <c r="B1526" s="4" t="s">
        <v>8</v>
      </c>
      <c r="C1526" s="4" t="s">
        <v>95</v>
      </c>
      <c r="D1526" s="4" t="s">
        <v>94</v>
      </c>
      <c r="E1526" s="4" t="s">
        <v>5</v>
      </c>
      <c r="F1526" s="4" t="s">
        <v>1267</v>
      </c>
      <c r="G1526" s="7" t="s">
        <v>11</v>
      </c>
      <c r="H1526" s="6" t="s">
        <v>11</v>
      </c>
      <c r="I1526" s="4" t="s">
        <v>10</v>
      </c>
      <c r="J1526" s="4" t="s">
        <v>15</v>
      </c>
      <c r="K1526" s="4" t="s">
        <v>0</v>
      </c>
    </row>
    <row r="1527" spans="1:11" ht="15.75" hidden="1" customHeight="1" x14ac:dyDescent="0.2">
      <c r="B1527" s="4" t="s">
        <v>8</v>
      </c>
      <c r="C1527" s="4" t="s">
        <v>228</v>
      </c>
      <c r="D1527" s="4" t="s">
        <v>36</v>
      </c>
      <c r="E1527" s="4" t="s">
        <v>17</v>
      </c>
      <c r="F1527" s="4" t="s">
        <v>1266</v>
      </c>
      <c r="G1527" s="4" t="s">
        <v>289</v>
      </c>
      <c r="H1527" s="6" t="s">
        <v>272</v>
      </c>
      <c r="I1527" s="4" t="s">
        <v>281</v>
      </c>
      <c r="J1527" s="4" t="s">
        <v>618</v>
      </c>
      <c r="K1527" s="4" t="s">
        <v>280</v>
      </c>
    </row>
    <row r="1528" spans="1:11" ht="15.75" hidden="1" customHeight="1" x14ac:dyDescent="0.2">
      <c r="B1528" s="4" t="s">
        <v>8</v>
      </c>
      <c r="C1528" s="4" t="s">
        <v>150</v>
      </c>
      <c r="D1528" s="4" t="s">
        <v>150</v>
      </c>
      <c r="E1528" s="4" t="s">
        <v>5</v>
      </c>
      <c r="F1528" s="4" t="s">
        <v>1265</v>
      </c>
      <c r="G1528" s="7" t="s">
        <v>11</v>
      </c>
      <c r="H1528" s="6" t="s">
        <v>11</v>
      </c>
      <c r="I1528" s="4" t="s">
        <v>10</v>
      </c>
      <c r="J1528" s="4" t="s">
        <v>15</v>
      </c>
      <c r="K1528" s="4" t="s">
        <v>0</v>
      </c>
    </row>
    <row r="1529" spans="1:11" ht="15.75" hidden="1" customHeight="1" x14ac:dyDescent="0.2">
      <c r="B1529" s="4" t="s">
        <v>8</v>
      </c>
      <c r="C1529" s="4" t="s">
        <v>89</v>
      </c>
      <c r="D1529" s="4" t="s">
        <v>88</v>
      </c>
      <c r="E1529" s="4" t="s">
        <v>5</v>
      </c>
      <c r="F1529" s="4" t="s">
        <v>1264</v>
      </c>
      <c r="G1529" s="7" t="s">
        <v>11</v>
      </c>
      <c r="H1529" s="6" t="s">
        <v>11</v>
      </c>
      <c r="I1529" s="4" t="s">
        <v>10</v>
      </c>
      <c r="J1529" s="4" t="s">
        <v>15</v>
      </c>
      <c r="K1529" s="4" t="s">
        <v>0</v>
      </c>
    </row>
    <row r="1530" spans="1:11" ht="15.75" customHeight="1" x14ac:dyDescent="0.2">
      <c r="A1530" s="1">
        <v>37</v>
      </c>
      <c r="B1530" s="4" t="s">
        <v>8</v>
      </c>
      <c r="C1530" s="4" t="s">
        <v>1263</v>
      </c>
      <c r="D1530" s="4" t="s">
        <v>66</v>
      </c>
      <c r="E1530" s="4" t="s">
        <v>23</v>
      </c>
      <c r="F1530" s="4" t="s">
        <v>1262</v>
      </c>
      <c r="G1530" s="7" t="str">
        <f>HYPERLINK("https://www.ndtv.com/kerala-news/man-allegedly-rapes-dog-circulates-video-on-whatsapp-1278925","News")</f>
        <v>News</v>
      </c>
      <c r="H1530" s="6" t="s">
        <v>3</v>
      </c>
      <c r="I1530" s="4" t="s">
        <v>10</v>
      </c>
      <c r="J1530" s="4" t="s">
        <v>82</v>
      </c>
      <c r="K1530" s="4" t="s">
        <v>0</v>
      </c>
    </row>
    <row r="1531" spans="1:11" ht="15.75" hidden="1" customHeight="1" x14ac:dyDescent="0.2">
      <c r="B1531" s="4" t="s">
        <v>8</v>
      </c>
      <c r="C1531" s="4" t="s">
        <v>95</v>
      </c>
      <c r="D1531" s="4" t="s">
        <v>94</v>
      </c>
      <c r="E1531" s="4" t="s">
        <v>5</v>
      </c>
      <c r="F1531" s="4" t="s">
        <v>1261</v>
      </c>
      <c r="G1531" s="7" t="s">
        <v>11</v>
      </c>
      <c r="H1531" s="6" t="s">
        <v>11</v>
      </c>
      <c r="I1531" s="4" t="s">
        <v>10</v>
      </c>
      <c r="J1531" s="4" t="s">
        <v>15</v>
      </c>
      <c r="K1531" s="4" t="s">
        <v>0</v>
      </c>
    </row>
    <row r="1532" spans="1:11" ht="15.75" hidden="1" customHeight="1" x14ac:dyDescent="0.2">
      <c r="B1532" s="4" t="s">
        <v>8</v>
      </c>
      <c r="C1532" s="4"/>
      <c r="D1532" s="4" t="s">
        <v>236</v>
      </c>
      <c r="E1532" s="4" t="s">
        <v>5</v>
      </c>
      <c r="F1532" s="4" t="s">
        <v>1260</v>
      </c>
      <c r="G1532" s="7" t="str">
        <f>HYPERLINK("https://www.facebook.com/groups/goapetlife/permalink/746886028744695/","Social media")</f>
        <v>Social media</v>
      </c>
      <c r="H1532" s="6" t="s">
        <v>11</v>
      </c>
      <c r="I1532" s="4" t="s">
        <v>2</v>
      </c>
      <c r="J1532" s="4" t="s">
        <v>1121</v>
      </c>
      <c r="K1532" s="4" t="s">
        <v>0</v>
      </c>
    </row>
    <row r="1533" spans="1:11" ht="15.75" hidden="1" customHeight="1" x14ac:dyDescent="0.2">
      <c r="B1533" s="4" t="s">
        <v>8</v>
      </c>
      <c r="C1533" s="4" t="s">
        <v>228</v>
      </c>
      <c r="D1533" s="4" t="s">
        <v>36</v>
      </c>
      <c r="E1533" s="4" t="s">
        <v>17</v>
      </c>
      <c r="F1533" s="4" t="s">
        <v>1259</v>
      </c>
      <c r="G1533" s="4" t="s">
        <v>289</v>
      </c>
      <c r="H1533" s="6" t="s">
        <v>272</v>
      </c>
      <c r="I1533" s="4" t="s">
        <v>292</v>
      </c>
      <c r="J1533" s="4" t="s">
        <v>618</v>
      </c>
      <c r="K1533" s="4" t="s">
        <v>280</v>
      </c>
    </row>
    <row r="1534" spans="1:11" ht="15.75" hidden="1" customHeight="1" x14ac:dyDescent="0.2">
      <c r="B1534" s="4" t="s">
        <v>8</v>
      </c>
      <c r="C1534" s="4" t="s">
        <v>89</v>
      </c>
      <c r="D1534" s="4" t="s">
        <v>88</v>
      </c>
      <c r="E1534" s="4" t="s">
        <v>5</v>
      </c>
      <c r="F1534" s="4" t="s">
        <v>1258</v>
      </c>
      <c r="G1534" s="7" t="s">
        <v>11</v>
      </c>
      <c r="H1534" s="6" t="s">
        <v>11</v>
      </c>
      <c r="I1534" s="4" t="s">
        <v>10</v>
      </c>
      <c r="J1534" s="4" t="s">
        <v>15</v>
      </c>
      <c r="K1534" s="4" t="s">
        <v>34</v>
      </c>
    </row>
    <row r="1535" spans="1:11" ht="15.75" hidden="1" customHeight="1" x14ac:dyDescent="0.2">
      <c r="B1535" s="4" t="s">
        <v>8</v>
      </c>
      <c r="C1535" s="4" t="s">
        <v>228</v>
      </c>
      <c r="D1535" s="4" t="s">
        <v>36</v>
      </c>
      <c r="E1535" s="4" t="s">
        <v>17</v>
      </c>
      <c r="F1535" s="4" t="s">
        <v>1257</v>
      </c>
      <c r="G1535" s="4" t="s">
        <v>289</v>
      </c>
      <c r="H1535" s="6" t="s">
        <v>272</v>
      </c>
      <c r="I1535" s="4" t="s">
        <v>21</v>
      </c>
      <c r="J1535" s="4" t="s">
        <v>50</v>
      </c>
      <c r="K1535" s="4" t="s">
        <v>1256</v>
      </c>
    </row>
    <row r="1536" spans="1:11" ht="15.75" hidden="1" customHeight="1" x14ac:dyDescent="0.2">
      <c r="B1536" s="4" t="s">
        <v>8</v>
      </c>
      <c r="C1536" s="4" t="s">
        <v>228</v>
      </c>
      <c r="D1536" s="4" t="s">
        <v>36</v>
      </c>
      <c r="E1536" s="4" t="s">
        <v>159</v>
      </c>
      <c r="F1536" s="4" t="s">
        <v>1255</v>
      </c>
      <c r="G1536" s="4" t="s">
        <v>289</v>
      </c>
      <c r="H1536" s="6" t="s">
        <v>272</v>
      </c>
      <c r="I1536" s="4" t="s">
        <v>281</v>
      </c>
      <c r="J1536" s="4" t="s">
        <v>814</v>
      </c>
      <c r="K1536" s="4" t="s">
        <v>280</v>
      </c>
    </row>
    <row r="1537" spans="1:11" ht="15.75" customHeight="1" x14ac:dyDescent="0.2">
      <c r="A1537" s="1">
        <v>38</v>
      </c>
      <c r="B1537" s="4" t="s">
        <v>8</v>
      </c>
      <c r="C1537" s="4" t="s">
        <v>150</v>
      </c>
      <c r="D1537" s="4" t="s">
        <v>150</v>
      </c>
      <c r="E1537" s="4" t="s">
        <v>55</v>
      </c>
      <c r="F1537" s="4" t="s">
        <v>1254</v>
      </c>
      <c r="G1537" s="7" t="s">
        <v>3</v>
      </c>
      <c r="H1537" s="6" t="s">
        <v>3</v>
      </c>
      <c r="I1537" s="4" t="s">
        <v>10</v>
      </c>
      <c r="J1537" s="4" t="s">
        <v>20</v>
      </c>
      <c r="K1537" s="4" t="s">
        <v>0</v>
      </c>
    </row>
    <row r="1538" spans="1:11" ht="15.75" hidden="1" customHeight="1" x14ac:dyDescent="0.2">
      <c r="B1538" s="4" t="s">
        <v>8</v>
      </c>
      <c r="C1538" s="4" t="s">
        <v>382</v>
      </c>
      <c r="D1538" s="4" t="s">
        <v>77</v>
      </c>
      <c r="E1538" s="4" t="s">
        <v>5</v>
      </c>
      <c r="F1538" s="4" t="s">
        <v>1253</v>
      </c>
      <c r="G1538" s="7" t="str">
        <f>HYPERLINK("https://www.facebook.com/groups/has.cbe/permalink/10154003871672421/","Social media")</f>
        <v>Social media</v>
      </c>
      <c r="H1538" s="6" t="s">
        <v>11</v>
      </c>
      <c r="I1538" s="4" t="s">
        <v>10</v>
      </c>
      <c r="J1538" s="4" t="s">
        <v>20</v>
      </c>
      <c r="K1538" s="4" t="s">
        <v>75</v>
      </c>
    </row>
    <row r="1539" spans="1:11" ht="15.75" customHeight="1" x14ac:dyDescent="0.2">
      <c r="A1539" s="1">
        <v>39</v>
      </c>
      <c r="B1539" s="4" t="s">
        <v>8</v>
      </c>
      <c r="C1539" s="4" t="s">
        <v>228</v>
      </c>
      <c r="D1539" s="4" t="s">
        <v>36</v>
      </c>
      <c r="E1539" s="4" t="s">
        <v>55</v>
      </c>
      <c r="F1539" s="4" t="s">
        <v>1252</v>
      </c>
      <c r="G1539" s="7" t="str">
        <f>HYPERLINK("https://www.firstpost.com/india/animal-cruelty-woman-in-bengaluru-flung-8-puppies-on-a-boulder-to-teach-mother-a-lesson-2689764.html","News")</f>
        <v>News</v>
      </c>
      <c r="H1539" s="6" t="s">
        <v>3</v>
      </c>
      <c r="I1539" s="4" t="s">
        <v>10</v>
      </c>
      <c r="J1539" s="4" t="s">
        <v>20</v>
      </c>
      <c r="K1539" s="4" t="s">
        <v>0</v>
      </c>
    </row>
    <row r="1540" spans="1:11" ht="15.75" customHeight="1" x14ac:dyDescent="0.2">
      <c r="A1540" s="1">
        <v>40</v>
      </c>
      <c r="B1540" s="4" t="s">
        <v>8</v>
      </c>
      <c r="C1540" s="4" t="s">
        <v>1251</v>
      </c>
      <c r="D1540" s="4" t="s">
        <v>154</v>
      </c>
      <c r="E1540" s="4" t="s">
        <v>81</v>
      </c>
      <c r="F1540" s="4" t="s">
        <v>1250</v>
      </c>
      <c r="G1540" s="7" t="s">
        <v>3</v>
      </c>
      <c r="H1540" s="6" t="s">
        <v>3</v>
      </c>
      <c r="I1540" s="4" t="s">
        <v>10</v>
      </c>
      <c r="J1540" s="4" t="s">
        <v>20</v>
      </c>
      <c r="K1540" s="4" t="s">
        <v>0</v>
      </c>
    </row>
    <row r="1541" spans="1:11" ht="15.75" hidden="1" customHeight="1" x14ac:dyDescent="0.2">
      <c r="B1541" s="4" t="s">
        <v>8</v>
      </c>
      <c r="C1541" s="4" t="s">
        <v>89</v>
      </c>
      <c r="D1541" s="4" t="s">
        <v>88</v>
      </c>
      <c r="E1541" s="4" t="s">
        <v>5</v>
      </c>
      <c r="F1541" s="4" t="s">
        <v>1249</v>
      </c>
      <c r="G1541" s="7" t="s">
        <v>11</v>
      </c>
      <c r="H1541" s="6" t="s">
        <v>11</v>
      </c>
      <c r="I1541" s="4" t="s">
        <v>10</v>
      </c>
      <c r="J1541" s="4" t="s">
        <v>15</v>
      </c>
      <c r="K1541" s="4" t="s">
        <v>0</v>
      </c>
    </row>
    <row r="1542" spans="1:11" ht="15.75" customHeight="1" x14ac:dyDescent="0.2">
      <c r="A1542" s="1">
        <v>41</v>
      </c>
      <c r="B1542" s="4" t="s">
        <v>8</v>
      </c>
      <c r="C1542" s="4" t="s">
        <v>1248</v>
      </c>
      <c r="D1542" s="4" t="s">
        <v>210</v>
      </c>
      <c r="E1542" s="4" t="s">
        <v>81</v>
      </c>
      <c r="F1542" s="4" t="s">
        <v>1247</v>
      </c>
      <c r="G1542" s="7" t="s">
        <v>3</v>
      </c>
      <c r="H1542" s="6" t="s">
        <v>3</v>
      </c>
      <c r="I1542" s="4" t="s">
        <v>109</v>
      </c>
      <c r="J1542" s="4" t="s">
        <v>82</v>
      </c>
      <c r="K1542" s="4" t="s">
        <v>57</v>
      </c>
    </row>
    <row r="1543" spans="1:11" ht="15.75" hidden="1" customHeight="1" x14ac:dyDescent="0.2">
      <c r="B1543" s="4" t="s">
        <v>8</v>
      </c>
      <c r="C1543" s="4" t="s">
        <v>228</v>
      </c>
      <c r="D1543" s="4" t="s">
        <v>36</v>
      </c>
      <c r="E1543" s="4" t="s">
        <v>17</v>
      </c>
      <c r="F1543" s="4" t="s">
        <v>1246</v>
      </c>
      <c r="G1543" s="4" t="s">
        <v>289</v>
      </c>
      <c r="H1543" s="6" t="s">
        <v>272</v>
      </c>
      <c r="I1543" s="4" t="s">
        <v>281</v>
      </c>
      <c r="J1543" s="4" t="s">
        <v>618</v>
      </c>
      <c r="K1543" s="4" t="s">
        <v>518</v>
      </c>
    </row>
    <row r="1544" spans="1:11" ht="15.75" customHeight="1" x14ac:dyDescent="0.2">
      <c r="A1544" s="1">
        <v>42</v>
      </c>
      <c r="B1544" s="4" t="s">
        <v>8</v>
      </c>
      <c r="C1544" s="4" t="s">
        <v>104</v>
      </c>
      <c r="D1544" s="4" t="s">
        <v>18</v>
      </c>
      <c r="E1544" s="4" t="s">
        <v>23</v>
      </c>
      <c r="F1544" s="4" t="s">
        <v>1245</v>
      </c>
      <c r="G1544" s="7" t="str">
        <f>HYPERLINK("http://timesofindia.indiatimes.com/city/mumbai/Street-dog-savagely-beaten-blinded-inside-Andheri-police-colony/articleshow/51732901.cms","News")</f>
        <v>News</v>
      </c>
      <c r="H1544" s="6" t="s">
        <v>3</v>
      </c>
      <c r="I1544" s="4" t="s">
        <v>10</v>
      </c>
      <c r="J1544" s="4" t="s">
        <v>15</v>
      </c>
      <c r="K1544" s="4" t="s">
        <v>0</v>
      </c>
    </row>
    <row r="1545" spans="1:11" ht="15.75" hidden="1" customHeight="1" x14ac:dyDescent="0.2">
      <c r="B1545" s="4" t="s">
        <v>8</v>
      </c>
      <c r="C1545" s="4" t="s">
        <v>1244</v>
      </c>
      <c r="D1545" s="4" t="s">
        <v>236</v>
      </c>
      <c r="E1545" s="4" t="s">
        <v>159</v>
      </c>
      <c r="F1545" s="4" t="s">
        <v>1243</v>
      </c>
      <c r="G1545" s="7" t="str">
        <f>HYPERLINK("https://www.facebook.com/wag.india/posts/540478416135218:0","Social media")</f>
        <v>Social media</v>
      </c>
      <c r="H1545" s="6" t="s">
        <v>11</v>
      </c>
      <c r="I1545" s="4" t="s">
        <v>10</v>
      </c>
      <c r="J1545" s="4" t="s">
        <v>15</v>
      </c>
      <c r="K1545" s="4" t="s">
        <v>0</v>
      </c>
    </row>
    <row r="1546" spans="1:11" ht="15.75" hidden="1" customHeight="1" x14ac:dyDescent="0.2">
      <c r="B1546" s="4" t="s">
        <v>8</v>
      </c>
      <c r="C1546" s="4" t="s">
        <v>228</v>
      </c>
      <c r="D1546" s="4" t="s">
        <v>36</v>
      </c>
      <c r="E1546" s="4" t="s">
        <v>159</v>
      </c>
      <c r="F1546" s="4" t="s">
        <v>1242</v>
      </c>
      <c r="G1546" s="4" t="s">
        <v>289</v>
      </c>
      <c r="H1546" s="6" t="s">
        <v>272</v>
      </c>
      <c r="I1546" s="4" t="s">
        <v>1241</v>
      </c>
      <c r="J1546" s="4" t="s">
        <v>814</v>
      </c>
      <c r="K1546" s="4" t="s">
        <v>873</v>
      </c>
    </row>
    <row r="1547" spans="1:11" ht="15.75" customHeight="1" x14ac:dyDescent="0.2">
      <c r="A1547" s="1">
        <v>43</v>
      </c>
      <c r="B1547" s="4" t="s">
        <v>8</v>
      </c>
      <c r="C1547" s="4" t="s">
        <v>1240</v>
      </c>
      <c r="D1547" s="4" t="s">
        <v>66</v>
      </c>
      <c r="E1547" s="4" t="s">
        <v>23</v>
      </c>
      <c r="F1547" s="4" t="s">
        <v>1239</v>
      </c>
      <c r="G1547" s="7" t="s">
        <v>3</v>
      </c>
      <c r="H1547" s="6" t="s">
        <v>3</v>
      </c>
      <c r="I1547" s="4" t="s">
        <v>10</v>
      </c>
      <c r="J1547" s="4" t="s">
        <v>82</v>
      </c>
      <c r="K1547" s="4" t="s">
        <v>0</v>
      </c>
    </row>
    <row r="1548" spans="1:11" ht="15.75" hidden="1" customHeight="1" x14ac:dyDescent="0.2">
      <c r="B1548" s="4" t="s">
        <v>8</v>
      </c>
      <c r="C1548" s="4" t="s">
        <v>104</v>
      </c>
      <c r="D1548" s="4" t="s">
        <v>18</v>
      </c>
      <c r="E1548" s="4" t="s">
        <v>5</v>
      </c>
      <c r="F1548" s="4" t="s">
        <v>1238</v>
      </c>
      <c r="G1548" s="7" t="str">
        <f>HYPERLINK("https://www.facebook.com/amtmindia/photos/a.130938910251597/1181740831838061/?type=3&amp;theater","Social media")</f>
        <v>Social media</v>
      </c>
      <c r="H1548" s="6" t="s">
        <v>11</v>
      </c>
      <c r="I1548" s="4" t="s">
        <v>10</v>
      </c>
      <c r="J1548" s="4" t="s">
        <v>15</v>
      </c>
      <c r="K1548" s="4" t="s">
        <v>0</v>
      </c>
    </row>
    <row r="1549" spans="1:11" ht="15.75" hidden="1" customHeight="1" x14ac:dyDescent="0.2">
      <c r="B1549" s="4" t="s">
        <v>8</v>
      </c>
      <c r="C1549" s="4" t="s">
        <v>228</v>
      </c>
      <c r="D1549" s="4" t="s">
        <v>36</v>
      </c>
      <c r="E1549" s="4" t="s">
        <v>159</v>
      </c>
      <c r="F1549" s="4" t="s">
        <v>1237</v>
      </c>
      <c r="G1549" s="4" t="s">
        <v>289</v>
      </c>
      <c r="H1549" s="6" t="s">
        <v>272</v>
      </c>
      <c r="I1549" s="4" t="s">
        <v>281</v>
      </c>
      <c r="J1549" s="4" t="s">
        <v>814</v>
      </c>
      <c r="K1549" s="4" t="s">
        <v>280</v>
      </c>
    </row>
    <row r="1550" spans="1:11" ht="15.75" hidden="1" customHeight="1" x14ac:dyDescent="0.2">
      <c r="B1550" s="4" t="s">
        <v>8</v>
      </c>
      <c r="C1550" s="4" t="s">
        <v>1236</v>
      </c>
      <c r="D1550" s="4" t="s">
        <v>236</v>
      </c>
      <c r="E1550" s="4" t="s">
        <v>159</v>
      </c>
      <c r="F1550" s="4" t="s">
        <v>1235</v>
      </c>
      <c r="G1550" s="4" t="s">
        <v>348</v>
      </c>
      <c r="H1550" s="6" t="s">
        <v>11</v>
      </c>
      <c r="I1550" s="4" t="s">
        <v>30</v>
      </c>
      <c r="J1550" s="4" t="s">
        <v>15</v>
      </c>
      <c r="K1550" s="4" t="s">
        <v>0</v>
      </c>
    </row>
    <row r="1551" spans="1:11" ht="15.75" customHeight="1" x14ac:dyDescent="0.2">
      <c r="A1551" s="1">
        <v>44</v>
      </c>
      <c r="B1551" s="4" t="s">
        <v>8</v>
      </c>
      <c r="C1551" s="4" t="s">
        <v>1234</v>
      </c>
      <c r="D1551" s="4" t="s">
        <v>232</v>
      </c>
      <c r="E1551" s="4" t="s">
        <v>5</v>
      </c>
      <c r="F1551" s="4" t="s">
        <v>1233</v>
      </c>
      <c r="G1551" s="7" t="s">
        <v>3</v>
      </c>
      <c r="H1551" s="6" t="s">
        <v>3</v>
      </c>
      <c r="I1551" s="4" t="s">
        <v>21</v>
      </c>
      <c r="J1551" s="4" t="s">
        <v>20</v>
      </c>
      <c r="K1551" s="4" t="s">
        <v>1232</v>
      </c>
    </row>
    <row r="1552" spans="1:11" ht="15.75" customHeight="1" x14ac:dyDescent="0.2">
      <c r="A1552" s="1">
        <v>45</v>
      </c>
      <c r="B1552" s="4" t="s">
        <v>8</v>
      </c>
      <c r="C1552" s="4" t="s">
        <v>1231</v>
      </c>
      <c r="D1552" s="4" t="s">
        <v>47</v>
      </c>
      <c r="E1552" s="4" t="s">
        <v>5</v>
      </c>
      <c r="F1552" s="4" t="s">
        <v>1230</v>
      </c>
      <c r="G1552" s="7" t="str">
        <f>HYPERLINK("http://indiatoday.intoday.in/story/assam-losing-elephants-tusks-trunks-endangered-species/1/949118.html","News")</f>
        <v>News</v>
      </c>
      <c r="H1552" s="6" t="s">
        <v>3</v>
      </c>
      <c r="I1552" s="4" t="s">
        <v>21</v>
      </c>
      <c r="J1552" s="4" t="s">
        <v>1</v>
      </c>
      <c r="K1552" s="4" t="s">
        <v>64</v>
      </c>
    </row>
    <row r="1553" spans="1:11" ht="15.75" customHeight="1" x14ac:dyDescent="0.2">
      <c r="A1553" s="1">
        <v>46</v>
      </c>
      <c r="B1553" s="4" t="s">
        <v>8</v>
      </c>
      <c r="C1553" s="4" t="s">
        <v>141</v>
      </c>
      <c r="D1553" s="4" t="s">
        <v>71</v>
      </c>
      <c r="E1553" s="4" t="s">
        <v>23</v>
      </c>
      <c r="F1553" s="4" t="s">
        <v>1229</v>
      </c>
      <c r="G1553" s="7" t="s">
        <v>3</v>
      </c>
      <c r="H1553" s="6" t="s">
        <v>3</v>
      </c>
      <c r="I1553" s="4" t="s">
        <v>10</v>
      </c>
      <c r="J1553" s="4" t="s">
        <v>20</v>
      </c>
      <c r="K1553" s="4" t="s">
        <v>0</v>
      </c>
    </row>
    <row r="1554" spans="1:11" ht="15.75" hidden="1" customHeight="1" x14ac:dyDescent="0.2">
      <c r="B1554" s="4" t="s">
        <v>8</v>
      </c>
      <c r="C1554" s="4"/>
      <c r="D1554" s="4" t="s">
        <v>236</v>
      </c>
      <c r="E1554" s="4" t="s">
        <v>5</v>
      </c>
      <c r="F1554" s="4" t="s">
        <v>1228</v>
      </c>
      <c r="G1554" s="7" t="str">
        <f>HYPERLINK("https://www.facebook.com/groups/goapetlife/permalink/795364157230215/","Social media")</f>
        <v>Social media</v>
      </c>
      <c r="H1554" s="6" t="s">
        <v>11</v>
      </c>
      <c r="I1554" s="4" t="s">
        <v>10</v>
      </c>
      <c r="J1554" s="4" t="s">
        <v>15</v>
      </c>
      <c r="K1554" s="4" t="s">
        <v>0</v>
      </c>
    </row>
    <row r="1555" spans="1:11" ht="15.75" hidden="1" customHeight="1" x14ac:dyDescent="0.2">
      <c r="B1555" s="4" t="s">
        <v>8</v>
      </c>
      <c r="C1555" s="4" t="s">
        <v>228</v>
      </c>
      <c r="D1555" s="4" t="s">
        <v>36</v>
      </c>
      <c r="E1555" s="4" t="s">
        <v>17</v>
      </c>
      <c r="F1555" s="4" t="s">
        <v>1227</v>
      </c>
      <c r="G1555" s="4" t="s">
        <v>289</v>
      </c>
      <c r="H1555" s="6" t="s">
        <v>272</v>
      </c>
      <c r="I1555" s="4" t="s">
        <v>292</v>
      </c>
      <c r="J1555" s="4" t="s">
        <v>50</v>
      </c>
      <c r="K1555" s="4" t="s">
        <v>280</v>
      </c>
    </row>
    <row r="1556" spans="1:11" ht="15.75" customHeight="1" x14ac:dyDescent="0.2">
      <c r="A1556" s="1">
        <v>47</v>
      </c>
      <c r="B1556" s="4" t="s">
        <v>8</v>
      </c>
      <c r="C1556" s="4" t="s">
        <v>1226</v>
      </c>
      <c r="D1556" s="4" t="s">
        <v>94</v>
      </c>
      <c r="E1556" s="4" t="s">
        <v>55</v>
      </c>
      <c r="F1556" s="4" t="s">
        <v>1225</v>
      </c>
      <c r="G1556" s="7" t="str">
        <f>HYPERLINK("https://www.tribuneindia.com/news/archive/selfie-crazy-youngsters-strangle-leopard-cub-in-rajasthan-237115","News")</f>
        <v>News</v>
      </c>
      <c r="H1556" s="6" t="s">
        <v>3</v>
      </c>
      <c r="I1556" s="4" t="s">
        <v>86</v>
      </c>
      <c r="J1556" s="4" t="s">
        <v>20</v>
      </c>
      <c r="K1556" s="4" t="s">
        <v>45</v>
      </c>
    </row>
    <row r="1557" spans="1:11" ht="15.75" customHeight="1" x14ac:dyDescent="0.2">
      <c r="A1557" s="1">
        <v>48</v>
      </c>
      <c r="B1557" s="4" t="s">
        <v>8</v>
      </c>
      <c r="C1557" s="4" t="s">
        <v>1224</v>
      </c>
      <c r="D1557" s="4" t="s">
        <v>47</v>
      </c>
      <c r="E1557" s="4" t="s">
        <v>17</v>
      </c>
      <c r="F1557" s="4" t="s">
        <v>1223</v>
      </c>
      <c r="G1557" s="7" t="str">
        <f>HYPERLINK("https://www.indiatoday.in/india/story/assam-villagers-kill-leopard-in-a-fit-of-rage-323653-2016-05-15","News")</f>
        <v>News</v>
      </c>
      <c r="H1557" s="6" t="s">
        <v>3</v>
      </c>
      <c r="I1557" s="4" t="s">
        <v>86</v>
      </c>
      <c r="J1557" s="4" t="s">
        <v>20</v>
      </c>
      <c r="K1557" s="4" t="s">
        <v>45</v>
      </c>
    </row>
    <row r="1558" spans="1:11" ht="15.75" customHeight="1" x14ac:dyDescent="0.2">
      <c r="A1558" s="1">
        <v>49</v>
      </c>
      <c r="B1558" s="4" t="s">
        <v>8</v>
      </c>
      <c r="C1558" s="4" t="s">
        <v>1222</v>
      </c>
      <c r="D1558" s="4" t="s">
        <v>77</v>
      </c>
      <c r="E1558" s="4" t="s">
        <v>81</v>
      </c>
      <c r="F1558" s="4" t="s">
        <v>1221</v>
      </c>
      <c r="G1558" s="7" t="str">
        <f>HYPERLINK("https://timesofindia.indiatimes.com/city/madurai/Farmer-sons-held-for-hacking-pregnant-buffalos-leg/articleshow/52336052.cms","News")</f>
        <v>News</v>
      </c>
      <c r="H1558" s="6" t="s">
        <v>3</v>
      </c>
      <c r="I1558" s="4" t="s">
        <v>10</v>
      </c>
      <c r="J1558" s="4" t="s">
        <v>15</v>
      </c>
      <c r="K1558" s="4" t="s">
        <v>367</v>
      </c>
    </row>
    <row r="1559" spans="1:11" ht="15.75" hidden="1" customHeight="1" x14ac:dyDescent="0.2">
      <c r="B1559" s="4" t="s">
        <v>8</v>
      </c>
      <c r="C1559" s="4" t="s">
        <v>95</v>
      </c>
      <c r="D1559" s="4" t="s">
        <v>94</v>
      </c>
      <c r="E1559" s="4" t="s">
        <v>5</v>
      </c>
      <c r="F1559" s="4" t="s">
        <v>1220</v>
      </c>
      <c r="G1559" s="7" t="s">
        <v>11</v>
      </c>
      <c r="H1559" s="6" t="s">
        <v>11</v>
      </c>
      <c r="I1559" s="4" t="s">
        <v>10</v>
      </c>
      <c r="J1559" s="4" t="s">
        <v>15</v>
      </c>
      <c r="K1559" s="4" t="s">
        <v>0</v>
      </c>
    </row>
    <row r="1560" spans="1:11" ht="15.75" hidden="1" customHeight="1" x14ac:dyDescent="0.2">
      <c r="B1560" s="4" t="s">
        <v>8</v>
      </c>
      <c r="C1560" s="4" t="s">
        <v>1219</v>
      </c>
      <c r="D1560" s="4" t="s">
        <v>42</v>
      </c>
      <c r="E1560" s="4" t="s">
        <v>23</v>
      </c>
      <c r="F1560" s="4" t="s">
        <v>1218</v>
      </c>
      <c r="G1560" s="7" t="s">
        <v>11</v>
      </c>
      <c r="H1560" s="6" t="s">
        <v>11</v>
      </c>
      <c r="I1560" s="4" t="s">
        <v>21</v>
      </c>
      <c r="J1560" s="4" t="s">
        <v>1</v>
      </c>
      <c r="K1560" s="4" t="s">
        <v>1217</v>
      </c>
    </row>
    <row r="1561" spans="1:11" ht="15.75" hidden="1" customHeight="1" x14ac:dyDescent="0.2">
      <c r="B1561" s="4" t="s">
        <v>8</v>
      </c>
      <c r="C1561" s="4" t="s">
        <v>313</v>
      </c>
      <c r="D1561" s="4" t="s">
        <v>42</v>
      </c>
      <c r="E1561" s="4" t="s">
        <v>23</v>
      </c>
      <c r="F1561" s="4" t="s">
        <v>1216</v>
      </c>
      <c r="G1561" s="7" t="s">
        <v>11</v>
      </c>
      <c r="H1561" s="6" t="s">
        <v>11</v>
      </c>
      <c r="I1561" s="4" t="s">
        <v>21</v>
      </c>
      <c r="J1561" s="4" t="s">
        <v>15</v>
      </c>
      <c r="K1561" s="4" t="s">
        <v>1215</v>
      </c>
    </row>
    <row r="1562" spans="1:11" ht="15.75" hidden="1" customHeight="1" x14ac:dyDescent="0.2">
      <c r="B1562" s="4" t="s">
        <v>8</v>
      </c>
      <c r="C1562" s="4" t="s">
        <v>1214</v>
      </c>
      <c r="D1562" s="4" t="s">
        <v>210</v>
      </c>
      <c r="E1562" s="4" t="s">
        <v>5</v>
      </c>
      <c r="F1562" s="4" t="s">
        <v>1213</v>
      </c>
      <c r="G1562" s="7" t="s">
        <v>11</v>
      </c>
      <c r="H1562" s="6" t="s">
        <v>11</v>
      </c>
      <c r="I1562" s="4" t="s">
        <v>86</v>
      </c>
      <c r="J1562" s="4" t="s">
        <v>20</v>
      </c>
      <c r="K1562" s="4" t="s">
        <v>49</v>
      </c>
    </row>
    <row r="1563" spans="1:11" ht="15.75" customHeight="1" x14ac:dyDescent="0.2">
      <c r="A1563" s="1">
        <v>50</v>
      </c>
      <c r="B1563" s="4" t="s">
        <v>8</v>
      </c>
      <c r="C1563" s="4" t="s">
        <v>139</v>
      </c>
      <c r="D1563" s="4" t="s">
        <v>18</v>
      </c>
      <c r="E1563" s="4" t="s">
        <v>55</v>
      </c>
      <c r="F1563" s="4" t="s">
        <v>1212</v>
      </c>
      <c r="G1563" s="7" t="str">
        <f>HYPERLINK("https://indianexpress.com/article/cities/pune/pune-acid-attack-on-2-stray-dogs-2849523/","News")</f>
        <v>News</v>
      </c>
      <c r="H1563" s="6" t="s">
        <v>3</v>
      </c>
      <c r="I1563" s="4" t="s">
        <v>10</v>
      </c>
      <c r="J1563" s="4" t="s">
        <v>15</v>
      </c>
      <c r="K1563" s="4" t="s">
        <v>0</v>
      </c>
    </row>
    <row r="1564" spans="1:11" ht="15.75" hidden="1" customHeight="1" x14ac:dyDescent="0.2">
      <c r="B1564" s="4" t="s">
        <v>8</v>
      </c>
      <c r="C1564" s="4" t="s">
        <v>228</v>
      </c>
      <c r="D1564" s="4" t="s">
        <v>36</v>
      </c>
      <c r="E1564" s="4" t="s">
        <v>159</v>
      </c>
      <c r="F1564" s="4" t="s">
        <v>1211</v>
      </c>
      <c r="G1564" s="4" t="s">
        <v>289</v>
      </c>
      <c r="H1564" s="6" t="s">
        <v>272</v>
      </c>
      <c r="I1564" s="4" t="s">
        <v>281</v>
      </c>
      <c r="J1564" s="4" t="s">
        <v>814</v>
      </c>
      <c r="K1564" s="4" t="s">
        <v>280</v>
      </c>
    </row>
    <row r="1565" spans="1:11" ht="15.75" hidden="1" customHeight="1" x14ac:dyDescent="0.2">
      <c r="B1565" s="4" t="s">
        <v>8</v>
      </c>
      <c r="C1565" s="4" t="s">
        <v>89</v>
      </c>
      <c r="D1565" s="4" t="s">
        <v>88</v>
      </c>
      <c r="E1565" s="4" t="s">
        <v>5</v>
      </c>
      <c r="F1565" s="4" t="s">
        <v>1210</v>
      </c>
      <c r="G1565" s="7" t="s">
        <v>11</v>
      </c>
      <c r="H1565" s="6" t="s">
        <v>11</v>
      </c>
      <c r="I1565" s="4" t="s">
        <v>10</v>
      </c>
      <c r="J1565" s="4" t="s">
        <v>15</v>
      </c>
      <c r="K1565" s="4" t="s">
        <v>0</v>
      </c>
    </row>
    <row r="1566" spans="1:11" ht="15.75" hidden="1" customHeight="1" x14ac:dyDescent="0.2">
      <c r="B1566" s="4" t="s">
        <v>8</v>
      </c>
      <c r="C1566" s="4" t="s">
        <v>1209</v>
      </c>
      <c r="D1566" s="4" t="s">
        <v>94</v>
      </c>
      <c r="E1566" s="4" t="s">
        <v>5</v>
      </c>
      <c r="F1566" s="4" t="s">
        <v>1208</v>
      </c>
      <c r="G1566" s="7" t="s">
        <v>11</v>
      </c>
      <c r="H1566" s="6" t="s">
        <v>11</v>
      </c>
      <c r="I1566" s="4" t="s">
        <v>305</v>
      </c>
      <c r="J1566" s="4" t="s">
        <v>1</v>
      </c>
      <c r="K1566" s="4" t="s">
        <v>840</v>
      </c>
    </row>
    <row r="1567" spans="1:11" ht="15.75" hidden="1" customHeight="1" x14ac:dyDescent="0.2">
      <c r="B1567" s="4" t="s">
        <v>8</v>
      </c>
      <c r="C1567" s="4" t="s">
        <v>139</v>
      </c>
      <c r="D1567" s="4" t="s">
        <v>18</v>
      </c>
      <c r="E1567" s="4" t="s">
        <v>5</v>
      </c>
      <c r="F1567" s="4" t="s">
        <v>1207</v>
      </c>
      <c r="G1567" s="7" t="str">
        <f>HYPERLINK("https://www.facebook.com/watch/?v=10155266553446101","Social media")</f>
        <v>Social media</v>
      </c>
      <c r="H1567" s="6" t="s">
        <v>11</v>
      </c>
      <c r="I1567" s="4" t="s">
        <v>10</v>
      </c>
      <c r="J1567" s="4" t="s">
        <v>20</v>
      </c>
      <c r="K1567" s="4" t="s">
        <v>0</v>
      </c>
    </row>
    <row r="1568" spans="1:11" ht="15.75" hidden="1" customHeight="1" x14ac:dyDescent="0.2">
      <c r="B1568" s="4" t="s">
        <v>8</v>
      </c>
      <c r="C1568" s="4" t="s">
        <v>89</v>
      </c>
      <c r="D1568" s="4" t="s">
        <v>88</v>
      </c>
      <c r="E1568" s="4" t="s">
        <v>5</v>
      </c>
      <c r="F1568" s="4" t="s">
        <v>1206</v>
      </c>
      <c r="G1568" s="7" t="s">
        <v>40</v>
      </c>
      <c r="H1568" s="6" t="s">
        <v>11</v>
      </c>
      <c r="I1568" s="4" t="s">
        <v>10</v>
      </c>
      <c r="J1568" s="4" t="s">
        <v>15</v>
      </c>
      <c r="K1568" s="4" t="s">
        <v>0</v>
      </c>
    </row>
    <row r="1569" spans="1:11" ht="15.75" hidden="1" customHeight="1" x14ac:dyDescent="0.2">
      <c r="B1569" s="4" t="s">
        <v>8</v>
      </c>
      <c r="C1569" s="4"/>
      <c r="D1569" s="4" t="s">
        <v>236</v>
      </c>
      <c r="E1569" s="4" t="s">
        <v>159</v>
      </c>
      <c r="F1569" s="4" t="s">
        <v>1205</v>
      </c>
      <c r="G1569" s="7" t="s">
        <v>1204</v>
      </c>
      <c r="H1569" s="6" t="s">
        <v>272</v>
      </c>
      <c r="I1569" s="4" t="s">
        <v>2</v>
      </c>
      <c r="J1569" s="4" t="s">
        <v>1121</v>
      </c>
      <c r="K1569" s="4" t="s">
        <v>0</v>
      </c>
    </row>
    <row r="1570" spans="1:11" ht="15.75" customHeight="1" x14ac:dyDescent="0.2">
      <c r="A1570" s="1">
        <v>51</v>
      </c>
      <c r="B1570" s="4" t="s">
        <v>8</v>
      </c>
      <c r="C1570" s="4" t="s">
        <v>1203</v>
      </c>
      <c r="D1570" s="4" t="s">
        <v>66</v>
      </c>
      <c r="E1570" s="4" t="s">
        <v>81</v>
      </c>
      <c r="F1570" s="4" t="s">
        <v>1202</v>
      </c>
      <c r="G1570" s="7" t="str">
        <f>HYPERLINK("https://timesofindia.indiatimes.com/city/kochi/Accused-in-Kerala-rape-case-involved-in-bestiality-with-goats-and-dogs-killed-them/articleshow/52826884.cms","News")</f>
        <v>News</v>
      </c>
      <c r="H1570" s="6" t="s">
        <v>3</v>
      </c>
      <c r="I1570" s="4" t="s">
        <v>10</v>
      </c>
      <c r="J1570" s="4" t="s">
        <v>82</v>
      </c>
      <c r="K1570" s="4" t="s">
        <v>0</v>
      </c>
    </row>
    <row r="1571" spans="1:11" ht="15.75" customHeight="1" x14ac:dyDescent="0.2">
      <c r="A1571" s="1">
        <v>52</v>
      </c>
      <c r="B1571" s="4" t="s">
        <v>8</v>
      </c>
      <c r="C1571" s="4" t="s">
        <v>150</v>
      </c>
      <c r="D1571" s="4" t="s">
        <v>150</v>
      </c>
      <c r="E1571" s="4" t="s">
        <v>23</v>
      </c>
      <c r="F1571" s="4" t="s">
        <v>1201</v>
      </c>
      <c r="G1571" s="7" t="s">
        <v>3</v>
      </c>
      <c r="H1571" s="6" t="s">
        <v>3</v>
      </c>
      <c r="I1571" s="4" t="s">
        <v>10</v>
      </c>
      <c r="J1571" s="4" t="s">
        <v>20</v>
      </c>
      <c r="K1571" s="4" t="s">
        <v>0</v>
      </c>
    </row>
    <row r="1572" spans="1:11" ht="15.75" hidden="1" customHeight="1" x14ac:dyDescent="0.2">
      <c r="B1572" s="4" t="s">
        <v>8</v>
      </c>
      <c r="C1572" s="4" t="s">
        <v>1200</v>
      </c>
      <c r="D1572" s="4" t="s">
        <v>28</v>
      </c>
      <c r="E1572" s="4" t="s">
        <v>5</v>
      </c>
      <c r="F1572" s="4" t="s">
        <v>1199</v>
      </c>
      <c r="G1572" s="7" t="s">
        <v>11</v>
      </c>
      <c r="H1572" s="6" t="s">
        <v>11</v>
      </c>
      <c r="I1572" s="4" t="s">
        <v>86</v>
      </c>
      <c r="J1572" s="4" t="s">
        <v>20</v>
      </c>
      <c r="K1572" s="4" t="s">
        <v>45</v>
      </c>
    </row>
    <row r="1573" spans="1:11" ht="15.75" hidden="1" customHeight="1" x14ac:dyDescent="0.2">
      <c r="B1573" s="4" t="s">
        <v>8</v>
      </c>
      <c r="C1573" s="4" t="s">
        <v>228</v>
      </c>
      <c r="D1573" s="4" t="s">
        <v>36</v>
      </c>
      <c r="E1573" s="4" t="s">
        <v>17</v>
      </c>
      <c r="F1573" s="4" t="s">
        <v>1198</v>
      </c>
      <c r="G1573" s="4" t="s">
        <v>289</v>
      </c>
      <c r="H1573" s="6" t="s">
        <v>272</v>
      </c>
      <c r="I1573" s="4" t="s">
        <v>281</v>
      </c>
      <c r="J1573" s="4" t="s">
        <v>618</v>
      </c>
      <c r="K1573" s="4" t="s">
        <v>280</v>
      </c>
    </row>
    <row r="1574" spans="1:11" ht="15.75" hidden="1" customHeight="1" x14ac:dyDescent="0.2">
      <c r="B1574" s="4" t="s">
        <v>8</v>
      </c>
      <c r="C1574" s="4" t="s">
        <v>95</v>
      </c>
      <c r="D1574" s="4" t="s">
        <v>94</v>
      </c>
      <c r="E1574" s="4" t="s">
        <v>5</v>
      </c>
      <c r="F1574" s="4" t="s">
        <v>1197</v>
      </c>
      <c r="G1574" s="7" t="s">
        <v>11</v>
      </c>
      <c r="H1574" s="6" t="s">
        <v>11</v>
      </c>
      <c r="I1574" s="4" t="s">
        <v>10</v>
      </c>
      <c r="J1574" s="4" t="s">
        <v>15</v>
      </c>
      <c r="K1574" s="4" t="s">
        <v>0</v>
      </c>
    </row>
    <row r="1575" spans="1:11" ht="15.75" customHeight="1" x14ac:dyDescent="0.2">
      <c r="A1575" s="1">
        <v>53</v>
      </c>
      <c r="B1575" s="4" t="s">
        <v>8</v>
      </c>
      <c r="C1575" s="4" t="s">
        <v>1196</v>
      </c>
      <c r="D1575" s="4" t="s">
        <v>1195</v>
      </c>
      <c r="E1575" s="4" t="s">
        <v>159</v>
      </c>
      <c r="F1575" s="4" t="s">
        <v>1194</v>
      </c>
      <c r="G1575" s="7" t="s">
        <v>3</v>
      </c>
      <c r="H1575" s="6" t="s">
        <v>3</v>
      </c>
      <c r="I1575" s="4" t="s">
        <v>2</v>
      </c>
      <c r="J1575" s="4" t="s">
        <v>1</v>
      </c>
      <c r="K1575" s="4" t="s">
        <v>0</v>
      </c>
    </row>
    <row r="1576" spans="1:11" ht="15.75" customHeight="1" x14ac:dyDescent="0.2">
      <c r="A1576" s="1">
        <v>54</v>
      </c>
      <c r="B1576" s="4" t="s">
        <v>8</v>
      </c>
      <c r="C1576" s="4" t="s">
        <v>1193</v>
      </c>
      <c r="D1576" s="4" t="s">
        <v>42</v>
      </c>
      <c r="E1576" s="4" t="s">
        <v>55</v>
      </c>
      <c r="F1576" s="4" t="s">
        <v>1192</v>
      </c>
      <c r="G1576" s="7" t="s">
        <v>3</v>
      </c>
      <c r="H1576" s="6" t="s">
        <v>3</v>
      </c>
      <c r="I1576" s="4" t="s">
        <v>109</v>
      </c>
      <c r="J1576" s="4" t="s">
        <v>304</v>
      </c>
      <c r="K1576" s="4" t="s">
        <v>33</v>
      </c>
    </row>
    <row r="1577" spans="1:11" ht="15.75" customHeight="1" x14ac:dyDescent="0.2">
      <c r="A1577" s="1">
        <v>55</v>
      </c>
      <c r="B1577" s="4" t="s">
        <v>8</v>
      </c>
      <c r="C1577" s="4" t="s">
        <v>130</v>
      </c>
      <c r="D1577" s="4" t="s">
        <v>77</v>
      </c>
      <c r="E1577" s="4" t="s">
        <v>23</v>
      </c>
      <c r="F1577" s="4" t="s">
        <v>1191</v>
      </c>
      <c r="G1577" s="7" t="s">
        <v>3</v>
      </c>
      <c r="H1577" s="6" t="s">
        <v>3</v>
      </c>
      <c r="I1577" s="4" t="s">
        <v>10</v>
      </c>
      <c r="J1577" s="4" t="s">
        <v>15</v>
      </c>
      <c r="K1577" s="4" t="s">
        <v>0</v>
      </c>
    </row>
    <row r="1578" spans="1:11" ht="15.75" hidden="1" customHeight="1" x14ac:dyDescent="0.2">
      <c r="B1578" s="4" t="s">
        <v>8</v>
      </c>
      <c r="C1578" s="4" t="s">
        <v>111</v>
      </c>
      <c r="D1578" s="4" t="s">
        <v>24</v>
      </c>
      <c r="E1578" s="4" t="s">
        <v>27</v>
      </c>
      <c r="F1578" s="4" t="s">
        <v>1190</v>
      </c>
      <c r="G1578" s="7" t="s">
        <v>11</v>
      </c>
      <c r="H1578" s="6" t="s">
        <v>11</v>
      </c>
      <c r="I1578" s="4" t="s">
        <v>10</v>
      </c>
      <c r="J1578" s="4" t="s">
        <v>20</v>
      </c>
      <c r="K1578" s="4" t="s">
        <v>0</v>
      </c>
    </row>
    <row r="1579" spans="1:11" ht="15.75" hidden="1" customHeight="1" x14ac:dyDescent="0.2">
      <c r="B1579" s="4" t="s">
        <v>8</v>
      </c>
      <c r="C1579" s="4" t="s">
        <v>228</v>
      </c>
      <c r="D1579" s="4" t="s">
        <v>36</v>
      </c>
      <c r="E1579" s="4" t="s">
        <v>159</v>
      </c>
      <c r="F1579" s="4" t="s">
        <v>1189</v>
      </c>
      <c r="G1579" s="4" t="s">
        <v>289</v>
      </c>
      <c r="H1579" s="6" t="s">
        <v>272</v>
      </c>
      <c r="I1579" s="4" t="s">
        <v>281</v>
      </c>
      <c r="J1579" s="4" t="s">
        <v>334</v>
      </c>
      <c r="K1579" s="4" t="s">
        <v>280</v>
      </c>
    </row>
    <row r="1580" spans="1:11" ht="15.75" hidden="1" customHeight="1" x14ac:dyDescent="0.2">
      <c r="B1580" s="4" t="s">
        <v>8</v>
      </c>
      <c r="C1580" s="4" t="s">
        <v>1188</v>
      </c>
      <c r="D1580" s="4" t="s">
        <v>150</v>
      </c>
      <c r="E1580" s="4" t="s">
        <v>5</v>
      </c>
      <c r="F1580" s="4" t="s">
        <v>1187</v>
      </c>
      <c r="G1580" s="7" t="s">
        <v>11</v>
      </c>
      <c r="H1580" s="6" t="s">
        <v>11</v>
      </c>
      <c r="I1580" s="4" t="s">
        <v>10</v>
      </c>
      <c r="J1580" s="4" t="s">
        <v>9</v>
      </c>
      <c r="K1580" s="4" t="s">
        <v>0</v>
      </c>
    </row>
    <row r="1581" spans="1:11" ht="15.75" hidden="1" customHeight="1" x14ac:dyDescent="0.2">
      <c r="B1581" s="4" t="s">
        <v>8</v>
      </c>
      <c r="C1581" s="4" t="s">
        <v>878</v>
      </c>
      <c r="D1581" s="4" t="s">
        <v>877</v>
      </c>
      <c r="E1581" s="4" t="s">
        <v>5</v>
      </c>
      <c r="F1581" s="4" t="s">
        <v>1186</v>
      </c>
      <c r="G1581" s="7" t="str">
        <f>HYPERLINK("https://www.facebook.com/hopeandanimal/posts/1194291190592581","Social media")</f>
        <v>Social media</v>
      </c>
      <c r="H1581" s="6" t="s">
        <v>11</v>
      </c>
      <c r="I1581" s="4" t="s">
        <v>10</v>
      </c>
      <c r="J1581" s="4" t="s">
        <v>15</v>
      </c>
      <c r="K1581" s="4" t="s">
        <v>0</v>
      </c>
    </row>
    <row r="1582" spans="1:11" ht="15.75" customHeight="1" x14ac:dyDescent="0.2">
      <c r="A1582" s="1">
        <v>56</v>
      </c>
      <c r="B1582" s="4" t="s">
        <v>8</v>
      </c>
      <c r="C1582" s="4" t="s">
        <v>1185</v>
      </c>
      <c r="D1582" s="4" t="s">
        <v>66</v>
      </c>
      <c r="E1582" s="4" t="s">
        <v>5</v>
      </c>
      <c r="F1582" s="4" t="s">
        <v>1184</v>
      </c>
      <c r="G1582" s="7" t="str">
        <f>HYPERLINK("https://timesofindia.indiatimes.com/city/kozhikode/Elephant-shot-dead-in-Wayanad/articleshow/53401985.cms","News")</f>
        <v>News</v>
      </c>
      <c r="H1582" s="6" t="s">
        <v>3</v>
      </c>
      <c r="I1582" s="4" t="s">
        <v>86</v>
      </c>
      <c r="J1582" s="4" t="s">
        <v>20</v>
      </c>
      <c r="K1582" s="4" t="s">
        <v>64</v>
      </c>
    </row>
    <row r="1583" spans="1:11" ht="15.75" customHeight="1" x14ac:dyDescent="0.2">
      <c r="A1583" s="1">
        <v>57</v>
      </c>
      <c r="B1583" s="4" t="s">
        <v>8</v>
      </c>
      <c r="C1583" s="4" t="s">
        <v>1183</v>
      </c>
      <c r="D1583" s="4" t="s">
        <v>877</v>
      </c>
      <c r="E1583" s="4" t="s">
        <v>159</v>
      </c>
      <c r="F1583" s="4" t="s">
        <v>1182</v>
      </c>
      <c r="G1583" s="7" t="str">
        <f>HYPERLINK("https://www.storypick.com/bitch-teat-sucker-boy/","News")</f>
        <v>News</v>
      </c>
      <c r="H1583" s="6" t="s">
        <v>3</v>
      </c>
      <c r="I1583" s="4" t="s">
        <v>10</v>
      </c>
      <c r="J1583" s="4" t="s">
        <v>9</v>
      </c>
      <c r="K1583" s="4" t="s">
        <v>0</v>
      </c>
    </row>
    <row r="1584" spans="1:11" ht="15.75" hidden="1" customHeight="1" x14ac:dyDescent="0.2">
      <c r="B1584" s="4" t="s">
        <v>8</v>
      </c>
      <c r="C1584" s="4" t="s">
        <v>111</v>
      </c>
      <c r="D1584" s="4" t="s">
        <v>24</v>
      </c>
      <c r="E1584" s="4" t="s">
        <v>23</v>
      </c>
      <c r="F1584" s="4" t="s">
        <v>1181</v>
      </c>
      <c r="G1584" s="7" t="s">
        <v>11</v>
      </c>
      <c r="H1584" s="6" t="s">
        <v>11</v>
      </c>
      <c r="I1584" s="4" t="s">
        <v>10</v>
      </c>
      <c r="J1584" s="4" t="s">
        <v>20</v>
      </c>
      <c r="K1584" s="4" t="s">
        <v>0</v>
      </c>
    </row>
    <row r="1585" spans="1:11" ht="15.75" customHeight="1" x14ac:dyDescent="0.2">
      <c r="A1585" s="1">
        <v>58</v>
      </c>
      <c r="B1585" s="4" t="s">
        <v>8</v>
      </c>
      <c r="C1585" s="4" t="s">
        <v>1180</v>
      </c>
      <c r="D1585" s="4" t="s">
        <v>877</v>
      </c>
      <c r="E1585" s="4" t="s">
        <v>17</v>
      </c>
      <c r="F1585" s="4" t="s">
        <v>1179</v>
      </c>
      <c r="G1585" s="7" t="s">
        <v>3</v>
      </c>
      <c r="H1585" s="6" t="s">
        <v>3</v>
      </c>
      <c r="I1585" s="4" t="s">
        <v>10</v>
      </c>
      <c r="J1585" s="4" t="s">
        <v>82</v>
      </c>
      <c r="K1585" s="4" t="s">
        <v>0</v>
      </c>
    </row>
    <row r="1586" spans="1:11" ht="15.75" hidden="1" customHeight="1" x14ac:dyDescent="0.2">
      <c r="B1586" s="4" t="s">
        <v>8</v>
      </c>
      <c r="C1586" s="4" t="s">
        <v>111</v>
      </c>
      <c r="D1586" s="4" t="s">
        <v>24</v>
      </c>
      <c r="E1586" s="4" t="s">
        <v>23</v>
      </c>
      <c r="F1586" s="4" t="s">
        <v>1178</v>
      </c>
      <c r="G1586" s="7" t="s">
        <v>11</v>
      </c>
      <c r="H1586" s="6" t="s">
        <v>11</v>
      </c>
      <c r="I1586" s="4" t="s">
        <v>10</v>
      </c>
      <c r="J1586" s="4" t="s">
        <v>20</v>
      </c>
      <c r="K1586" s="4" t="s">
        <v>0</v>
      </c>
    </row>
    <row r="1587" spans="1:11" ht="15.75" customHeight="1" x14ac:dyDescent="0.2">
      <c r="A1587" s="1">
        <v>59</v>
      </c>
      <c r="B1587" s="4" t="s">
        <v>8</v>
      </c>
      <c r="C1587" s="4" t="s">
        <v>111</v>
      </c>
      <c r="D1587" s="4" t="s">
        <v>24</v>
      </c>
      <c r="E1587" s="4" t="s">
        <v>23</v>
      </c>
      <c r="F1587" s="4" t="s">
        <v>1177</v>
      </c>
      <c r="G1587" s="7" t="str">
        <f>HYPERLINK("https://www.thequint.com/news/india/pregnant-dog-attacked-with-acid-3-dogs-poisoned-in-brutal-attack-hyderabad","News")</f>
        <v>News</v>
      </c>
      <c r="H1587" s="6" t="s">
        <v>3</v>
      </c>
      <c r="I1587" s="4" t="s">
        <v>10</v>
      </c>
      <c r="J1587" s="4" t="s">
        <v>20</v>
      </c>
      <c r="K1587" s="4" t="s">
        <v>0</v>
      </c>
    </row>
    <row r="1588" spans="1:11" ht="15.75" customHeight="1" x14ac:dyDescent="0.2">
      <c r="A1588" s="1">
        <v>60</v>
      </c>
      <c r="B1588" s="4" t="s">
        <v>8</v>
      </c>
      <c r="C1588" s="4" t="s">
        <v>111</v>
      </c>
      <c r="D1588" s="4" t="s">
        <v>24</v>
      </c>
      <c r="E1588" s="4" t="s">
        <v>23</v>
      </c>
      <c r="F1588" s="4" t="s">
        <v>1176</v>
      </c>
      <c r="G1588" s="7" t="str">
        <f>HYPERLINK("https://www.thequint.com/news/india/pregnant-dog-attacked-with-acid-3-dogs-poisoned-in-brutal-attack-hyderabad","News")</f>
        <v>News</v>
      </c>
      <c r="H1588" s="6" t="s">
        <v>3</v>
      </c>
      <c r="I1588" s="4" t="s">
        <v>10</v>
      </c>
      <c r="J1588" s="4" t="s">
        <v>20</v>
      </c>
      <c r="K1588" s="4" t="s">
        <v>0</v>
      </c>
    </row>
    <row r="1589" spans="1:11" ht="15.75" hidden="1" customHeight="1" x14ac:dyDescent="0.2">
      <c r="B1589" s="4" t="s">
        <v>8</v>
      </c>
      <c r="C1589" s="4" t="s">
        <v>139</v>
      </c>
      <c r="D1589" s="4" t="s">
        <v>18</v>
      </c>
      <c r="E1589" s="4" t="s">
        <v>17</v>
      </c>
      <c r="F1589" s="4" t="s">
        <v>1175</v>
      </c>
      <c r="G1589" s="7" t="str">
        <f>HYPERLINK("https://www.facebook.com/bcspune/photos/a.284091944958053/1228029200564318/?type=3","Social media")</f>
        <v>Social media</v>
      </c>
      <c r="H1589" s="6" t="s">
        <v>11</v>
      </c>
      <c r="I1589" s="4" t="s">
        <v>10</v>
      </c>
      <c r="J1589" s="4" t="s">
        <v>20</v>
      </c>
      <c r="K1589" s="4" t="s">
        <v>75</v>
      </c>
    </row>
    <row r="1590" spans="1:11" ht="15.75" customHeight="1" x14ac:dyDescent="0.2">
      <c r="A1590" s="1">
        <v>61</v>
      </c>
      <c r="B1590" s="4" t="s">
        <v>8</v>
      </c>
      <c r="C1590" s="4" t="s">
        <v>358</v>
      </c>
      <c r="D1590" s="4" t="s">
        <v>42</v>
      </c>
      <c r="E1590" s="4" t="s">
        <v>5</v>
      </c>
      <c r="F1590" s="4" t="s">
        <v>1174</v>
      </c>
      <c r="G1590" s="7" t="s">
        <v>199</v>
      </c>
      <c r="H1590" s="6" t="s">
        <v>3</v>
      </c>
      <c r="I1590" s="4" t="s">
        <v>10</v>
      </c>
      <c r="J1590" s="4" t="s">
        <v>15</v>
      </c>
      <c r="K1590" s="4" t="s">
        <v>0</v>
      </c>
    </row>
    <row r="1591" spans="1:11" ht="15.75" customHeight="1" x14ac:dyDescent="0.2">
      <c r="A1591" s="1">
        <v>62</v>
      </c>
      <c r="B1591" s="4" t="s">
        <v>8</v>
      </c>
      <c r="C1591" s="4" t="s">
        <v>408</v>
      </c>
      <c r="D1591" s="4" t="s">
        <v>28</v>
      </c>
      <c r="E1591" s="4" t="s">
        <v>23</v>
      </c>
      <c r="F1591" s="4" t="s">
        <v>1173</v>
      </c>
      <c r="G1591" s="7" t="s">
        <v>3</v>
      </c>
      <c r="H1591" s="6" t="s">
        <v>3</v>
      </c>
      <c r="I1591" s="4" t="s">
        <v>10</v>
      </c>
      <c r="J1591" s="4" t="s">
        <v>20</v>
      </c>
      <c r="K1591" s="4" t="s">
        <v>0</v>
      </c>
    </row>
    <row r="1592" spans="1:11" ht="15.75" hidden="1" customHeight="1" x14ac:dyDescent="0.2">
      <c r="B1592" s="4" t="s">
        <v>8</v>
      </c>
      <c r="C1592" s="4" t="s">
        <v>89</v>
      </c>
      <c r="D1592" s="4" t="s">
        <v>88</v>
      </c>
      <c r="E1592" s="4" t="s">
        <v>5</v>
      </c>
      <c r="F1592" s="4" t="s">
        <v>1172</v>
      </c>
      <c r="G1592" s="7" t="s">
        <v>11</v>
      </c>
      <c r="H1592" s="6" t="s">
        <v>11</v>
      </c>
      <c r="I1592" s="4" t="s">
        <v>10</v>
      </c>
      <c r="J1592" s="4" t="s">
        <v>15</v>
      </c>
      <c r="K1592" s="4" t="s">
        <v>108</v>
      </c>
    </row>
    <row r="1593" spans="1:11" ht="15.75" hidden="1" customHeight="1" x14ac:dyDescent="0.2">
      <c r="B1593" s="4" t="s">
        <v>8</v>
      </c>
      <c r="C1593" s="4" t="s">
        <v>89</v>
      </c>
      <c r="D1593" s="4" t="s">
        <v>88</v>
      </c>
      <c r="E1593" s="4" t="s">
        <v>5</v>
      </c>
      <c r="F1593" s="4" t="s">
        <v>1171</v>
      </c>
      <c r="G1593" s="7" t="s">
        <v>11</v>
      </c>
      <c r="H1593" s="6" t="s">
        <v>11</v>
      </c>
      <c r="I1593" s="4" t="s">
        <v>10</v>
      </c>
      <c r="J1593" s="4" t="s">
        <v>15</v>
      </c>
      <c r="K1593" s="4" t="s">
        <v>34</v>
      </c>
    </row>
    <row r="1594" spans="1:11" ht="15.75" hidden="1" customHeight="1" x14ac:dyDescent="0.2">
      <c r="B1594" s="4" t="s">
        <v>8</v>
      </c>
      <c r="C1594" s="4" t="s">
        <v>1170</v>
      </c>
      <c r="D1594" s="4" t="s">
        <v>71</v>
      </c>
      <c r="E1594" s="4" t="s">
        <v>27</v>
      </c>
      <c r="F1594" s="4" t="s">
        <v>1169</v>
      </c>
      <c r="G1594" s="7" t="s">
        <v>11</v>
      </c>
      <c r="H1594" s="6" t="s">
        <v>11</v>
      </c>
      <c r="I1594" s="4" t="s">
        <v>10</v>
      </c>
      <c r="J1594" s="4" t="s">
        <v>20</v>
      </c>
      <c r="K1594" s="4" t="s">
        <v>57</v>
      </c>
    </row>
    <row r="1595" spans="1:11" ht="15.75" hidden="1" customHeight="1" x14ac:dyDescent="0.2">
      <c r="B1595" s="4" t="s">
        <v>8</v>
      </c>
      <c r="C1595" s="4" t="s">
        <v>358</v>
      </c>
      <c r="D1595" s="4" t="s">
        <v>42</v>
      </c>
      <c r="E1595" s="4" t="s">
        <v>5</v>
      </c>
      <c r="F1595" s="4" t="s">
        <v>1168</v>
      </c>
      <c r="G1595" s="7" t="s">
        <v>11</v>
      </c>
      <c r="H1595" s="6" t="s">
        <v>11</v>
      </c>
      <c r="I1595" s="4" t="s">
        <v>10</v>
      </c>
      <c r="J1595" s="4" t="s">
        <v>20</v>
      </c>
      <c r="K1595" s="4" t="s">
        <v>0</v>
      </c>
    </row>
    <row r="1596" spans="1:11" ht="15.75" customHeight="1" x14ac:dyDescent="0.2">
      <c r="A1596" s="1">
        <v>63</v>
      </c>
      <c r="B1596" s="4" t="s">
        <v>8</v>
      </c>
      <c r="C1596" s="4" t="s">
        <v>139</v>
      </c>
      <c r="D1596" s="4" t="s">
        <v>18</v>
      </c>
      <c r="E1596" s="4" t="s">
        <v>23</v>
      </c>
      <c r="F1596" s="4" t="s">
        <v>1167</v>
      </c>
      <c r="G1596" s="7" t="s">
        <v>3</v>
      </c>
      <c r="H1596" s="6" t="s">
        <v>3</v>
      </c>
      <c r="I1596" s="4" t="s">
        <v>2</v>
      </c>
      <c r="J1596" s="4" t="s">
        <v>15</v>
      </c>
      <c r="K1596" s="4" t="s">
        <v>75</v>
      </c>
    </row>
    <row r="1597" spans="1:11" ht="15.75" customHeight="1" x14ac:dyDescent="0.2">
      <c r="A1597" s="1">
        <v>64</v>
      </c>
      <c r="B1597" s="4" t="s">
        <v>8</v>
      </c>
      <c r="C1597" s="4" t="s">
        <v>111</v>
      </c>
      <c r="D1597" s="4" t="s">
        <v>24</v>
      </c>
      <c r="E1597" s="4" t="s">
        <v>81</v>
      </c>
      <c r="F1597" s="4" t="s">
        <v>1166</v>
      </c>
      <c r="G1597" s="7" t="str">
        <f>HYPERLINK("http://www.thenewsminute.com/article/rakesh-mehar-rakeshmehargmailcom-another-case-animal-cruelty-hyderabad-three-dogs-found-shot","News")</f>
        <v>News</v>
      </c>
      <c r="H1597" s="6" t="s">
        <v>3</v>
      </c>
      <c r="I1597" s="4" t="s">
        <v>10</v>
      </c>
      <c r="J1597" s="4" t="s">
        <v>20</v>
      </c>
      <c r="K1597" s="4" t="s">
        <v>0</v>
      </c>
    </row>
    <row r="1598" spans="1:11" ht="15.75" hidden="1" customHeight="1" x14ac:dyDescent="0.2">
      <c r="B1598" s="4" t="s">
        <v>8</v>
      </c>
      <c r="C1598" s="4" t="s">
        <v>139</v>
      </c>
      <c r="D1598" s="4" t="s">
        <v>18</v>
      </c>
      <c r="E1598" s="4" t="s">
        <v>23</v>
      </c>
      <c r="F1598" s="4" t="s">
        <v>1165</v>
      </c>
      <c r="G1598" s="7" t="str">
        <f>HYPERLINK("https://www.facebook.com/resqct/photos/a.481927051100/10154318025356101/?type=3","Social media")</f>
        <v>Social media</v>
      </c>
      <c r="H1598" s="6" t="s">
        <v>11</v>
      </c>
      <c r="I1598" s="4" t="s">
        <v>10</v>
      </c>
      <c r="J1598" s="4" t="s">
        <v>15</v>
      </c>
      <c r="K1598" s="4" t="s">
        <v>0</v>
      </c>
    </row>
    <row r="1599" spans="1:11" ht="15.75" hidden="1" customHeight="1" x14ac:dyDescent="0.2">
      <c r="B1599" s="4" t="s">
        <v>8</v>
      </c>
      <c r="C1599" s="4" t="s">
        <v>1164</v>
      </c>
      <c r="D1599" s="4" t="s">
        <v>77</v>
      </c>
      <c r="E1599" s="4" t="s">
        <v>27</v>
      </c>
      <c r="F1599" s="4" t="s">
        <v>1163</v>
      </c>
      <c r="G1599" s="7" t="str">
        <f>HYPERLINK("https://www.facebook.com/bluecrossofindia/videos/10154415071147170/","Social media")</f>
        <v>Social media</v>
      </c>
      <c r="H1599" s="6" t="s">
        <v>11</v>
      </c>
      <c r="I1599" s="4" t="s">
        <v>10</v>
      </c>
      <c r="J1599" s="4" t="s">
        <v>20</v>
      </c>
      <c r="K1599" s="4" t="s">
        <v>0</v>
      </c>
    </row>
    <row r="1600" spans="1:11" ht="15.75" hidden="1" customHeight="1" x14ac:dyDescent="0.2">
      <c r="B1600" s="4" t="s">
        <v>8</v>
      </c>
      <c r="C1600" s="4" t="s">
        <v>228</v>
      </c>
      <c r="D1600" s="4" t="s">
        <v>36</v>
      </c>
      <c r="E1600" s="4" t="s">
        <v>17</v>
      </c>
      <c r="F1600" s="4" t="s">
        <v>1162</v>
      </c>
      <c r="G1600" s="4" t="s">
        <v>289</v>
      </c>
      <c r="H1600" s="6" t="s">
        <v>272</v>
      </c>
      <c r="I1600" s="4" t="s">
        <v>281</v>
      </c>
      <c r="J1600" s="4" t="s">
        <v>618</v>
      </c>
      <c r="K1600" s="4" t="s">
        <v>280</v>
      </c>
    </row>
    <row r="1601" spans="1:11" ht="15.75" hidden="1" customHeight="1" x14ac:dyDescent="0.2">
      <c r="B1601" s="4" t="s">
        <v>8</v>
      </c>
      <c r="C1601" s="4" t="s">
        <v>426</v>
      </c>
      <c r="D1601" s="4" t="s">
        <v>154</v>
      </c>
      <c r="E1601" s="4" t="s">
        <v>23</v>
      </c>
      <c r="F1601" s="4" t="s">
        <v>1161</v>
      </c>
      <c r="G1601" s="7" t="s">
        <v>11</v>
      </c>
      <c r="H1601" s="6" t="s">
        <v>11</v>
      </c>
      <c r="I1601" s="4" t="s">
        <v>10</v>
      </c>
      <c r="J1601" s="4" t="s">
        <v>15</v>
      </c>
      <c r="K1601" s="4" t="s">
        <v>0</v>
      </c>
    </row>
    <row r="1602" spans="1:11" ht="15.75" hidden="1" customHeight="1" x14ac:dyDescent="0.2">
      <c r="B1602" s="4" t="s">
        <v>8</v>
      </c>
      <c r="C1602" s="4"/>
      <c r="D1602" s="4" t="s">
        <v>236</v>
      </c>
      <c r="E1602" s="4" t="s">
        <v>17</v>
      </c>
      <c r="F1602" s="4" t="s">
        <v>1160</v>
      </c>
      <c r="G1602" s="7" t="str">
        <f>HYPERLINK("https://www.facebook.com/wag.india/photos/a.112347678948296/622955634554162/?type=3","Social media")</f>
        <v>Social media</v>
      </c>
      <c r="H1602" s="6" t="s">
        <v>11</v>
      </c>
      <c r="I1602" s="4" t="s">
        <v>197</v>
      </c>
      <c r="J1602" s="4" t="s">
        <v>471</v>
      </c>
      <c r="K1602" s="4" t="s">
        <v>446</v>
      </c>
    </row>
    <row r="1603" spans="1:11" ht="15.75" customHeight="1" x14ac:dyDescent="0.2">
      <c r="A1603" s="1">
        <v>65</v>
      </c>
      <c r="B1603" s="4" t="s">
        <v>8</v>
      </c>
      <c r="C1603" s="4" t="s">
        <v>1159</v>
      </c>
      <c r="D1603" s="4" t="s">
        <v>551</v>
      </c>
      <c r="E1603" s="4" t="s">
        <v>5</v>
      </c>
      <c r="F1603" s="4" t="s">
        <v>1158</v>
      </c>
      <c r="G1603" s="7" t="s">
        <v>3</v>
      </c>
      <c r="H1603" s="6" t="s">
        <v>3</v>
      </c>
      <c r="I1603" s="4" t="s">
        <v>86</v>
      </c>
      <c r="J1603" s="4" t="s">
        <v>20</v>
      </c>
      <c r="K1603" s="4" t="s">
        <v>1157</v>
      </c>
    </row>
    <row r="1604" spans="1:11" ht="15.75" hidden="1" customHeight="1" x14ac:dyDescent="0.2">
      <c r="B1604" s="4" t="s">
        <v>8</v>
      </c>
      <c r="C1604" s="4" t="s">
        <v>624</v>
      </c>
      <c r="D1604" s="4" t="s">
        <v>154</v>
      </c>
      <c r="E1604" s="4" t="s">
        <v>5</v>
      </c>
      <c r="F1604" s="4" t="s">
        <v>1156</v>
      </c>
      <c r="G1604" s="7" t="s">
        <v>11</v>
      </c>
      <c r="H1604" s="6" t="s">
        <v>11</v>
      </c>
      <c r="I1604" s="4" t="s">
        <v>10</v>
      </c>
      <c r="J1604" s="4" t="s">
        <v>20</v>
      </c>
      <c r="K1604" s="4" t="s">
        <v>0</v>
      </c>
    </row>
    <row r="1605" spans="1:11" ht="15.75" hidden="1" customHeight="1" x14ac:dyDescent="0.2">
      <c r="B1605" s="4" t="s">
        <v>8</v>
      </c>
      <c r="C1605" s="4"/>
      <c r="D1605" s="4" t="s">
        <v>236</v>
      </c>
      <c r="E1605" s="4" t="s">
        <v>159</v>
      </c>
      <c r="F1605" s="4" t="s">
        <v>1155</v>
      </c>
      <c r="G1605" s="7" t="str">
        <f>HYPERLINK("https://www.facebook.com/wag.india/posts/876344585881931","Social media")</f>
        <v>Social media</v>
      </c>
      <c r="H1605" s="6" t="s">
        <v>11</v>
      </c>
      <c r="I1605" s="4" t="s">
        <v>197</v>
      </c>
      <c r="J1605" s="4" t="s">
        <v>1</v>
      </c>
      <c r="K1605" s="4" t="s">
        <v>446</v>
      </c>
    </row>
    <row r="1606" spans="1:11" ht="15.75" hidden="1" customHeight="1" x14ac:dyDescent="0.2">
      <c r="B1606" s="4" t="s">
        <v>8</v>
      </c>
      <c r="C1606" s="4"/>
      <c r="D1606" s="4" t="s">
        <v>236</v>
      </c>
      <c r="E1606" s="4" t="s">
        <v>159</v>
      </c>
      <c r="F1606" s="4" t="s">
        <v>1154</v>
      </c>
      <c r="G1606" s="7" t="str">
        <f>HYPERLINK("https://www.facebook.com/wag.india/posts/594539917395734:0","Social media")</f>
        <v>Social media</v>
      </c>
      <c r="H1606" s="6" t="s">
        <v>11</v>
      </c>
      <c r="I1606" s="4" t="s">
        <v>10</v>
      </c>
      <c r="J1606" s="4" t="s">
        <v>15</v>
      </c>
      <c r="K1606" s="4" t="s">
        <v>57</v>
      </c>
    </row>
    <row r="1607" spans="1:11" ht="15.75" hidden="1" customHeight="1" x14ac:dyDescent="0.2">
      <c r="B1607" s="4" t="s">
        <v>8</v>
      </c>
      <c r="C1607" s="4" t="s">
        <v>228</v>
      </c>
      <c r="D1607" s="4" t="s">
        <v>36</v>
      </c>
      <c r="E1607" s="4" t="s">
        <v>17</v>
      </c>
      <c r="F1607" s="4" t="s">
        <v>1153</v>
      </c>
      <c r="G1607" s="4" t="s">
        <v>289</v>
      </c>
      <c r="H1607" s="6" t="s">
        <v>272</v>
      </c>
      <c r="I1607" s="4" t="s">
        <v>281</v>
      </c>
      <c r="J1607" s="4" t="s">
        <v>618</v>
      </c>
      <c r="K1607" s="4" t="s">
        <v>280</v>
      </c>
    </row>
    <row r="1608" spans="1:11" ht="15.75" customHeight="1" x14ac:dyDescent="0.2">
      <c r="A1608" s="1">
        <v>66</v>
      </c>
      <c r="B1608" s="4" t="s">
        <v>8</v>
      </c>
      <c r="C1608" s="4" t="s">
        <v>104</v>
      </c>
      <c r="D1608" s="4" t="s">
        <v>18</v>
      </c>
      <c r="E1608" s="4" t="s">
        <v>23</v>
      </c>
      <c r="F1608" s="4" t="s">
        <v>1152</v>
      </c>
      <c r="G1608" s="7" t="s">
        <v>3</v>
      </c>
      <c r="H1608" s="6" t="s">
        <v>3</v>
      </c>
      <c r="I1608" s="4" t="s">
        <v>10</v>
      </c>
      <c r="J1608" s="4" t="s">
        <v>15</v>
      </c>
      <c r="K1608" s="4" t="s">
        <v>0</v>
      </c>
    </row>
    <row r="1609" spans="1:11" ht="15.75" hidden="1" customHeight="1" x14ac:dyDescent="0.2">
      <c r="B1609" s="4" t="s">
        <v>8</v>
      </c>
      <c r="C1609" s="4" t="s">
        <v>1151</v>
      </c>
      <c r="D1609" s="4" t="s">
        <v>66</v>
      </c>
      <c r="E1609" s="4" t="s">
        <v>23</v>
      </c>
      <c r="F1609" s="4" t="s">
        <v>1150</v>
      </c>
      <c r="G1609" s="7" t="str">
        <f>HYPERLINK("https://www.facebook.com/groups/indiaanimalforum/permalink/1133515803397330/","Social media")</f>
        <v>Social media</v>
      </c>
      <c r="H1609" s="6" t="s">
        <v>11</v>
      </c>
      <c r="I1609" s="4" t="s">
        <v>2</v>
      </c>
      <c r="J1609" s="4" t="s">
        <v>20</v>
      </c>
      <c r="K1609" s="4" t="s">
        <v>0</v>
      </c>
    </row>
    <row r="1610" spans="1:11" ht="15.75" customHeight="1" x14ac:dyDescent="0.2">
      <c r="A1610" s="1">
        <v>67</v>
      </c>
      <c r="B1610" s="4" t="s">
        <v>8</v>
      </c>
      <c r="C1610" s="4" t="s">
        <v>1149</v>
      </c>
      <c r="D1610" s="4" t="s">
        <v>66</v>
      </c>
      <c r="E1610" s="4" t="s">
        <v>23</v>
      </c>
      <c r="F1610" s="4" t="s">
        <v>1148</v>
      </c>
      <c r="G1610" s="7" t="str">
        <f>HYPERLINK("https://www.indiatoday.in/india/story/kerala-Street-dog-menace-kill-sheltered-dogs-348121-2016-10-23","News")</f>
        <v>News</v>
      </c>
      <c r="H1610" s="6" t="s">
        <v>3</v>
      </c>
      <c r="I1610" s="4" t="s">
        <v>2</v>
      </c>
      <c r="J1610" s="4" t="s">
        <v>20</v>
      </c>
      <c r="K1610" s="4" t="s">
        <v>0</v>
      </c>
    </row>
    <row r="1611" spans="1:11" ht="15.75" customHeight="1" x14ac:dyDescent="0.2">
      <c r="A1611" s="1">
        <v>68</v>
      </c>
      <c r="B1611" s="4" t="s">
        <v>8</v>
      </c>
      <c r="C1611" s="4" t="s">
        <v>111</v>
      </c>
      <c r="D1611" s="4" t="s">
        <v>24</v>
      </c>
      <c r="E1611" s="4" t="s">
        <v>81</v>
      </c>
      <c r="F1611" s="4" t="s">
        <v>1147</v>
      </c>
      <c r="G1611" s="7" t="str">
        <f>HYPERLINK("https://timesofindia.indiatimes.com/city/delhi/Delhi-man-held-for-killing-pregnant-dog-having-sex-with-the-carcass/articleshow/55042562.cms?fbclid=IwAR3gpWOJ8-TqQedZZsyLcpPNXousgRUmW0akDZYdQY0bhHBD-iKMUlZc9wY","News")</f>
        <v>News</v>
      </c>
      <c r="H1611" s="6" t="s">
        <v>3</v>
      </c>
      <c r="I1611" s="4" t="s">
        <v>10</v>
      </c>
      <c r="J1611" s="4" t="s">
        <v>82</v>
      </c>
      <c r="K1611" s="4" t="s">
        <v>0</v>
      </c>
    </row>
    <row r="1612" spans="1:11" ht="15.75" customHeight="1" x14ac:dyDescent="0.2">
      <c r="A1612" s="1">
        <v>69</v>
      </c>
      <c r="B1612" s="4" t="s">
        <v>8</v>
      </c>
      <c r="C1612" s="4" t="s">
        <v>139</v>
      </c>
      <c r="D1612" s="4" t="s">
        <v>18</v>
      </c>
      <c r="E1612" s="4" t="s">
        <v>23</v>
      </c>
      <c r="F1612" s="4" t="s">
        <v>1146</v>
      </c>
      <c r="G1612" s="7" t="s">
        <v>3</v>
      </c>
      <c r="H1612" s="6" t="s">
        <v>3</v>
      </c>
      <c r="I1612" s="4" t="s">
        <v>10</v>
      </c>
      <c r="J1612" s="4" t="s">
        <v>15</v>
      </c>
      <c r="K1612" s="4" t="s">
        <v>0</v>
      </c>
    </row>
    <row r="1613" spans="1:11" ht="15.75" customHeight="1" x14ac:dyDescent="0.2">
      <c r="A1613" s="1">
        <v>70</v>
      </c>
      <c r="B1613" s="4" t="s">
        <v>8</v>
      </c>
      <c r="C1613" s="4" t="s">
        <v>139</v>
      </c>
      <c r="D1613" s="4" t="s">
        <v>18</v>
      </c>
      <c r="E1613" s="4" t="s">
        <v>159</v>
      </c>
      <c r="F1613" s="4" t="s">
        <v>1145</v>
      </c>
      <c r="G1613" s="7" t="s">
        <v>3</v>
      </c>
      <c r="H1613" s="6" t="s">
        <v>3</v>
      </c>
      <c r="I1613" s="4" t="s">
        <v>10</v>
      </c>
      <c r="J1613" s="4" t="s">
        <v>157</v>
      </c>
      <c r="K1613" s="4" t="s">
        <v>0</v>
      </c>
    </row>
    <row r="1614" spans="1:11" ht="15.75" customHeight="1" x14ac:dyDescent="0.2">
      <c r="A1614" s="1">
        <v>71</v>
      </c>
      <c r="B1614" s="4" t="s">
        <v>8</v>
      </c>
      <c r="C1614" s="4" t="s">
        <v>139</v>
      </c>
      <c r="D1614" s="4" t="s">
        <v>18</v>
      </c>
      <c r="E1614" s="4" t="s">
        <v>27</v>
      </c>
      <c r="F1614" s="4" t="s">
        <v>1144</v>
      </c>
      <c r="G1614" s="7" t="str">
        <f>HYPERLINK("http://timesofindia.indiatimes.com/city/pune/man-throws-boiling-water-on-Street-booked/articleshow/55269757.cms","News")</f>
        <v>News</v>
      </c>
      <c r="H1614" s="6" t="s">
        <v>3</v>
      </c>
      <c r="I1614" s="4" t="s">
        <v>10</v>
      </c>
      <c r="J1614" s="4" t="s">
        <v>15</v>
      </c>
      <c r="K1614" s="4" t="s">
        <v>0</v>
      </c>
    </row>
    <row r="1615" spans="1:11" ht="15.75" customHeight="1" x14ac:dyDescent="0.2">
      <c r="A1615" s="1">
        <v>72</v>
      </c>
      <c r="B1615" s="4" t="s">
        <v>8</v>
      </c>
      <c r="C1615" s="4" t="s">
        <v>1143</v>
      </c>
      <c r="D1615" s="4" t="s">
        <v>66</v>
      </c>
      <c r="E1615" s="4" t="s">
        <v>23</v>
      </c>
      <c r="F1615" s="4" t="s">
        <v>1142</v>
      </c>
      <c r="G1615" s="7" t="str">
        <f>HYPERLINK("https://www.thequint.com/news/india/kerala-man-dies-in-Street-dog-attack-27-dogs-killed-in-revenge-varkala-thiruvananthapuram","News")</f>
        <v>News</v>
      </c>
      <c r="H1615" s="6" t="s">
        <v>3</v>
      </c>
      <c r="I1615" s="4" t="s">
        <v>10</v>
      </c>
      <c r="J1615" s="4" t="s">
        <v>20</v>
      </c>
      <c r="K1615" s="4" t="s">
        <v>0</v>
      </c>
    </row>
    <row r="1616" spans="1:11" ht="15.75" hidden="1" customHeight="1" x14ac:dyDescent="0.2">
      <c r="B1616" s="4" t="s">
        <v>8</v>
      </c>
      <c r="C1616" s="4" t="s">
        <v>228</v>
      </c>
      <c r="D1616" s="4" t="s">
        <v>36</v>
      </c>
      <c r="E1616" s="4" t="s">
        <v>159</v>
      </c>
      <c r="F1616" s="4" t="s">
        <v>1141</v>
      </c>
      <c r="G1616" s="4" t="s">
        <v>289</v>
      </c>
      <c r="H1616" s="6" t="s">
        <v>272</v>
      </c>
      <c r="I1616" s="4" t="s">
        <v>281</v>
      </c>
      <c r="J1616" s="4" t="s">
        <v>1121</v>
      </c>
      <c r="K1616" s="4" t="s">
        <v>279</v>
      </c>
    </row>
    <row r="1617" spans="1:11" ht="15.75" customHeight="1" x14ac:dyDescent="0.2">
      <c r="A1617" s="1">
        <v>73</v>
      </c>
      <c r="B1617" s="4" t="s">
        <v>8</v>
      </c>
      <c r="C1617" s="4" t="s">
        <v>318</v>
      </c>
      <c r="D1617" s="4" t="s">
        <v>317</v>
      </c>
      <c r="E1617" s="4" t="s">
        <v>27</v>
      </c>
      <c r="F1617" s="4" t="s">
        <v>1140</v>
      </c>
      <c r="G1617" s="7" t="s">
        <v>3</v>
      </c>
      <c r="H1617" s="6" t="s">
        <v>3</v>
      </c>
      <c r="I1617" s="4" t="s">
        <v>2</v>
      </c>
      <c r="J1617" s="4" t="s">
        <v>1</v>
      </c>
      <c r="K1617" s="4" t="s">
        <v>0</v>
      </c>
    </row>
    <row r="1618" spans="1:11" ht="15.75" hidden="1" customHeight="1" x14ac:dyDescent="0.2">
      <c r="B1618" s="4" t="s">
        <v>8</v>
      </c>
      <c r="C1618" s="4" t="s">
        <v>89</v>
      </c>
      <c r="D1618" s="4" t="s">
        <v>88</v>
      </c>
      <c r="E1618" s="4" t="s">
        <v>17</v>
      </c>
      <c r="F1618" s="4" t="s">
        <v>1139</v>
      </c>
      <c r="G1618" s="7" t="s">
        <v>11</v>
      </c>
      <c r="H1618" s="6" t="s">
        <v>11</v>
      </c>
      <c r="I1618" s="4" t="s">
        <v>10</v>
      </c>
      <c r="J1618" s="4" t="s">
        <v>20</v>
      </c>
      <c r="K1618" s="4" t="s">
        <v>0</v>
      </c>
    </row>
    <row r="1619" spans="1:11" ht="15.75" customHeight="1" x14ac:dyDescent="0.2">
      <c r="A1619" s="1">
        <v>74</v>
      </c>
      <c r="B1619" s="4" t="s">
        <v>8</v>
      </c>
      <c r="C1619" s="4" t="s">
        <v>139</v>
      </c>
      <c r="D1619" s="4" t="s">
        <v>18</v>
      </c>
      <c r="E1619" s="4" t="s">
        <v>55</v>
      </c>
      <c r="F1619" s="4" t="s">
        <v>1138</v>
      </c>
      <c r="G1619" s="7" t="str">
        <f>HYPERLINK("https://timesofindia.indiatimes.com/city/pune/5-youths-on-bikes-drag-dog-to-death-cops-hunt-for-them/articleshow/55256185.cms","News")</f>
        <v>News</v>
      </c>
      <c r="H1619" s="6" t="s">
        <v>3</v>
      </c>
      <c r="I1619" s="4" t="s">
        <v>10</v>
      </c>
      <c r="J1619" s="4" t="s">
        <v>20</v>
      </c>
      <c r="K1619" s="4" t="s">
        <v>0</v>
      </c>
    </row>
    <row r="1620" spans="1:11" ht="15.75" hidden="1" customHeight="1" x14ac:dyDescent="0.2">
      <c r="B1620" s="4" t="s">
        <v>8</v>
      </c>
      <c r="C1620" s="4" t="s">
        <v>89</v>
      </c>
      <c r="D1620" s="4" t="s">
        <v>88</v>
      </c>
      <c r="E1620" s="4" t="s">
        <v>5</v>
      </c>
      <c r="F1620" s="4" t="s">
        <v>1137</v>
      </c>
      <c r="G1620" s="7" t="s">
        <v>11</v>
      </c>
      <c r="H1620" s="6" t="s">
        <v>11</v>
      </c>
      <c r="I1620" s="4" t="s">
        <v>281</v>
      </c>
      <c r="J1620" s="4" t="s">
        <v>618</v>
      </c>
      <c r="K1620" s="4" t="s">
        <v>373</v>
      </c>
    </row>
    <row r="1621" spans="1:11" ht="15.75" hidden="1" customHeight="1" x14ac:dyDescent="0.2">
      <c r="B1621" s="4" t="s">
        <v>8</v>
      </c>
      <c r="C1621" s="4"/>
      <c r="D1621" s="4" t="s">
        <v>236</v>
      </c>
      <c r="E1621" s="4" t="s">
        <v>159</v>
      </c>
      <c r="F1621" s="4" t="s">
        <v>1136</v>
      </c>
      <c r="G1621" s="7" t="str">
        <f>HYPERLINK("https://www.facebook.com/groups/goapetlife/permalink/902572423176054/","Social media")</f>
        <v>Social media</v>
      </c>
      <c r="H1621" s="6" t="s">
        <v>11</v>
      </c>
      <c r="I1621" s="4" t="s">
        <v>10</v>
      </c>
      <c r="J1621" s="4" t="s">
        <v>15</v>
      </c>
      <c r="K1621" s="4" t="s">
        <v>0</v>
      </c>
    </row>
    <row r="1622" spans="1:11" ht="15.75" customHeight="1" x14ac:dyDescent="0.2">
      <c r="A1622" s="1">
        <v>75</v>
      </c>
      <c r="B1622" s="4" t="s">
        <v>8</v>
      </c>
      <c r="C1622" s="4" t="s">
        <v>999</v>
      </c>
      <c r="D1622" s="4" t="s">
        <v>77</v>
      </c>
      <c r="E1622" s="4" t="s">
        <v>81</v>
      </c>
      <c r="F1622" s="4" t="s">
        <v>1135</v>
      </c>
      <c r="G1622" s="7" t="str">
        <f>HYPERLINK("https://www.thenewsminute.com/article/monkey-tied-tortured-and-stabbed-death-cmc-vellore-medical-students-53316","News")</f>
        <v>News</v>
      </c>
      <c r="H1622" s="6" t="s">
        <v>3</v>
      </c>
      <c r="I1622" s="4" t="s">
        <v>21</v>
      </c>
      <c r="J1622" s="4" t="s">
        <v>82</v>
      </c>
      <c r="K1622" s="4" t="s">
        <v>19</v>
      </c>
    </row>
    <row r="1623" spans="1:11" ht="15.75" hidden="1" customHeight="1" x14ac:dyDescent="0.2">
      <c r="B1623" s="4" t="s">
        <v>8</v>
      </c>
      <c r="C1623" s="4" t="s">
        <v>95</v>
      </c>
      <c r="D1623" s="4" t="s">
        <v>94</v>
      </c>
      <c r="E1623" s="4" t="s">
        <v>5</v>
      </c>
      <c r="F1623" s="4" t="s">
        <v>1134</v>
      </c>
      <c r="G1623" s="7" t="s">
        <v>207</v>
      </c>
      <c r="H1623" s="6" t="s">
        <v>11</v>
      </c>
      <c r="I1623" s="4" t="s">
        <v>10</v>
      </c>
      <c r="J1623" s="4" t="s">
        <v>15</v>
      </c>
      <c r="K1623" s="4" t="s">
        <v>0</v>
      </c>
    </row>
    <row r="1624" spans="1:11" ht="15.75" customHeight="1" x14ac:dyDescent="0.2">
      <c r="A1624" s="1">
        <v>76</v>
      </c>
      <c r="B1624" s="4" t="s">
        <v>8</v>
      </c>
      <c r="C1624" s="4" t="s">
        <v>1133</v>
      </c>
      <c r="D1624" s="4" t="s">
        <v>71</v>
      </c>
      <c r="E1624" s="4" t="s">
        <v>5</v>
      </c>
      <c r="F1624" s="4" t="s">
        <v>1132</v>
      </c>
      <c r="G1624" s="7" t="str">
        <f>HYPERLINK("https://www.inuth.com/india/sohna-leopard-beaten-death-gurgaon-haryana/","News")</f>
        <v>News</v>
      </c>
      <c r="H1624" s="6" t="s">
        <v>3</v>
      </c>
      <c r="I1624" s="4" t="s">
        <v>86</v>
      </c>
      <c r="J1624" s="4" t="s">
        <v>20</v>
      </c>
      <c r="K1624" s="4" t="s">
        <v>45</v>
      </c>
    </row>
    <row r="1625" spans="1:11" ht="15.75" hidden="1" customHeight="1" x14ac:dyDescent="0.2">
      <c r="B1625" s="4" t="s">
        <v>8</v>
      </c>
      <c r="C1625" s="4" t="s">
        <v>95</v>
      </c>
      <c r="D1625" s="4" t="s">
        <v>94</v>
      </c>
      <c r="E1625" s="4" t="s">
        <v>5</v>
      </c>
      <c r="F1625" s="4" t="s">
        <v>1131</v>
      </c>
      <c r="G1625" s="7" t="s">
        <v>11</v>
      </c>
      <c r="H1625" s="6" t="s">
        <v>11</v>
      </c>
      <c r="I1625" s="4" t="s">
        <v>10</v>
      </c>
      <c r="J1625" s="4" t="s">
        <v>15</v>
      </c>
      <c r="K1625" s="4" t="s">
        <v>0</v>
      </c>
    </row>
    <row r="1626" spans="1:11" ht="15.75" customHeight="1" x14ac:dyDescent="0.2">
      <c r="A1626" s="1">
        <v>77</v>
      </c>
      <c r="B1626" s="4" t="s">
        <v>8</v>
      </c>
      <c r="C1626" s="4" t="s">
        <v>141</v>
      </c>
      <c r="D1626" s="4" t="s">
        <v>71</v>
      </c>
      <c r="E1626" s="4" t="s">
        <v>5</v>
      </c>
      <c r="F1626" s="4" t="s">
        <v>1130</v>
      </c>
      <c r="G1626" s="7" t="s">
        <v>3</v>
      </c>
      <c r="H1626" s="6" t="s">
        <v>3</v>
      </c>
      <c r="I1626" s="4" t="s">
        <v>21</v>
      </c>
      <c r="J1626" s="4" t="s">
        <v>20</v>
      </c>
      <c r="K1626" s="4" t="s">
        <v>45</v>
      </c>
    </row>
    <row r="1627" spans="1:11" ht="15.75" customHeight="1" x14ac:dyDescent="0.2">
      <c r="A1627" s="1">
        <v>78</v>
      </c>
      <c r="B1627" s="4" t="s">
        <v>8</v>
      </c>
      <c r="C1627" s="4" t="s">
        <v>89</v>
      </c>
      <c r="D1627" s="4" t="s">
        <v>88</v>
      </c>
      <c r="E1627" s="4" t="s">
        <v>5</v>
      </c>
      <c r="F1627" s="4" t="s">
        <v>1129</v>
      </c>
      <c r="G1627" s="7" t="s">
        <v>3</v>
      </c>
      <c r="H1627" s="6" t="s">
        <v>3</v>
      </c>
      <c r="I1627" s="4" t="s">
        <v>10</v>
      </c>
      <c r="J1627" s="4" t="s">
        <v>15</v>
      </c>
      <c r="K1627" s="4" t="s">
        <v>0</v>
      </c>
    </row>
    <row r="1628" spans="1:11" ht="15.75" customHeight="1" x14ac:dyDescent="0.2">
      <c r="A1628" s="1">
        <v>79</v>
      </c>
      <c r="B1628" s="4" t="s">
        <v>8</v>
      </c>
      <c r="C1628" s="4" t="s">
        <v>507</v>
      </c>
      <c r="D1628" s="4" t="s">
        <v>150</v>
      </c>
      <c r="E1628" s="4" t="s">
        <v>23</v>
      </c>
      <c r="F1628" s="4" t="s">
        <v>1128</v>
      </c>
      <c r="G1628" s="7" t="s">
        <v>3</v>
      </c>
      <c r="H1628" s="6" t="s">
        <v>3</v>
      </c>
      <c r="I1628" s="4" t="s">
        <v>10</v>
      </c>
      <c r="J1628" s="4" t="s">
        <v>15</v>
      </c>
      <c r="K1628" s="4" t="s">
        <v>0</v>
      </c>
    </row>
    <row r="1629" spans="1:11" ht="15.75" hidden="1" customHeight="1" x14ac:dyDescent="0.2">
      <c r="B1629" s="4" t="s">
        <v>8</v>
      </c>
      <c r="C1629" s="4" t="s">
        <v>139</v>
      </c>
      <c r="D1629" s="4" t="s">
        <v>18</v>
      </c>
      <c r="E1629" s="4" t="s">
        <v>17</v>
      </c>
      <c r="F1629" s="4" t="s">
        <v>1127</v>
      </c>
      <c r="G1629" s="7" t="str">
        <f>HYPERLINK("https://www.facebook.com/resqct/photos/a.481927051100/10154644841131101/?type=3","Social media")</f>
        <v>Social media</v>
      </c>
      <c r="H1629" s="6" t="s">
        <v>11</v>
      </c>
      <c r="I1629" s="4" t="s">
        <v>10</v>
      </c>
      <c r="J1629" s="4" t="s">
        <v>20</v>
      </c>
      <c r="K1629" s="4" t="s">
        <v>0</v>
      </c>
    </row>
    <row r="1630" spans="1:11" ht="15.75" hidden="1" customHeight="1" x14ac:dyDescent="0.2">
      <c r="B1630" s="4" t="s">
        <v>8</v>
      </c>
      <c r="C1630" s="4" t="s">
        <v>95</v>
      </c>
      <c r="D1630" s="4" t="s">
        <v>94</v>
      </c>
      <c r="E1630" s="4" t="s">
        <v>5</v>
      </c>
      <c r="F1630" s="4" t="s">
        <v>1126</v>
      </c>
      <c r="G1630" s="7" t="s">
        <v>11</v>
      </c>
      <c r="H1630" s="6" t="s">
        <v>11</v>
      </c>
      <c r="I1630" s="4" t="s">
        <v>86</v>
      </c>
      <c r="J1630" s="4" t="s">
        <v>20</v>
      </c>
      <c r="K1630" s="4" t="s">
        <v>45</v>
      </c>
    </row>
    <row r="1631" spans="1:11" ht="15.75" customHeight="1" x14ac:dyDescent="0.2">
      <c r="A1631" s="1">
        <v>80</v>
      </c>
      <c r="B1631" s="4" t="s">
        <v>8</v>
      </c>
      <c r="C1631" s="4" t="s">
        <v>150</v>
      </c>
      <c r="D1631" s="4" t="s">
        <v>150</v>
      </c>
      <c r="E1631" s="4" t="s">
        <v>5</v>
      </c>
      <c r="F1631" s="4" t="s">
        <v>1125</v>
      </c>
      <c r="G1631" s="7" t="s">
        <v>3</v>
      </c>
      <c r="H1631" s="6" t="s">
        <v>3</v>
      </c>
      <c r="I1631" s="4" t="s">
        <v>10</v>
      </c>
      <c r="J1631" s="4" t="s">
        <v>15</v>
      </c>
      <c r="K1631" s="4" t="s">
        <v>0</v>
      </c>
    </row>
    <row r="1632" spans="1:11" ht="15.75" hidden="1" customHeight="1" x14ac:dyDescent="0.2">
      <c r="B1632" s="4" t="s">
        <v>8</v>
      </c>
      <c r="C1632" s="4" t="s">
        <v>527</v>
      </c>
      <c r="D1632" s="4" t="s">
        <v>18</v>
      </c>
      <c r="E1632" s="4" t="s">
        <v>5</v>
      </c>
      <c r="F1632" s="4" t="s">
        <v>1124</v>
      </c>
      <c r="G1632" s="7" t="s">
        <v>11</v>
      </c>
      <c r="H1632" s="6" t="s">
        <v>11</v>
      </c>
      <c r="I1632" s="4" t="s">
        <v>10</v>
      </c>
      <c r="J1632" s="4" t="s">
        <v>15</v>
      </c>
      <c r="K1632" s="4" t="s">
        <v>0</v>
      </c>
    </row>
    <row r="1633" spans="1:11" ht="15.75" hidden="1" customHeight="1" x14ac:dyDescent="0.2">
      <c r="B1633" s="4" t="s">
        <v>8</v>
      </c>
      <c r="C1633" s="4" t="s">
        <v>53</v>
      </c>
      <c r="D1633" s="4" t="s">
        <v>52</v>
      </c>
      <c r="E1633" s="4" t="s">
        <v>5</v>
      </c>
      <c r="F1633" s="4" t="s">
        <v>1123</v>
      </c>
      <c r="G1633" s="7" t="s">
        <v>11</v>
      </c>
      <c r="H1633" s="6" t="s">
        <v>11</v>
      </c>
      <c r="I1633" s="4" t="s">
        <v>21</v>
      </c>
      <c r="J1633" s="4" t="s">
        <v>157</v>
      </c>
      <c r="K1633" s="4" t="s">
        <v>49</v>
      </c>
    </row>
    <row r="1634" spans="1:11" ht="15.75" hidden="1" customHeight="1" x14ac:dyDescent="0.2">
      <c r="B1634" s="4" t="s">
        <v>8</v>
      </c>
      <c r="C1634" s="4" t="s">
        <v>382</v>
      </c>
      <c r="D1634" s="4" t="s">
        <v>77</v>
      </c>
      <c r="E1634" s="4" t="s">
        <v>5</v>
      </c>
      <c r="F1634" s="4" t="s">
        <v>1122</v>
      </c>
      <c r="G1634" s="7" t="str">
        <f>HYPERLINK("https://www.facebook.com/groups/has.cbe/permalink/10154834322057421/","Social media")</f>
        <v>Social media</v>
      </c>
      <c r="H1634" s="6" t="s">
        <v>11</v>
      </c>
      <c r="I1634" s="4" t="s">
        <v>2</v>
      </c>
      <c r="J1634" s="4" t="s">
        <v>1121</v>
      </c>
      <c r="K1634" s="4" t="s">
        <v>0</v>
      </c>
    </row>
    <row r="1635" spans="1:11" ht="15.75" hidden="1" customHeight="1" x14ac:dyDescent="0.2">
      <c r="B1635" s="4" t="s">
        <v>8</v>
      </c>
      <c r="C1635" s="4" t="s">
        <v>130</v>
      </c>
      <c r="D1635" s="4" t="s">
        <v>77</v>
      </c>
      <c r="E1635" s="4" t="s">
        <v>23</v>
      </c>
      <c r="F1635" s="4" t="s">
        <v>1120</v>
      </c>
      <c r="G1635" s="7" t="str">
        <f>HYPERLINK("https://www.facebook.com/watch/?v=10154840082957170","Social media")</f>
        <v>Social media</v>
      </c>
      <c r="H1635" s="6" t="s">
        <v>11</v>
      </c>
      <c r="I1635" s="4" t="s">
        <v>10</v>
      </c>
      <c r="J1635" s="4" t="s">
        <v>15</v>
      </c>
      <c r="K1635" s="4" t="s">
        <v>75</v>
      </c>
    </row>
    <row r="1636" spans="1:11" ht="15.75" hidden="1" customHeight="1" x14ac:dyDescent="0.2">
      <c r="B1636" s="4" t="s">
        <v>8</v>
      </c>
      <c r="C1636" s="4" t="s">
        <v>271</v>
      </c>
      <c r="D1636" s="4" t="s">
        <v>94</v>
      </c>
      <c r="E1636" s="4" t="s">
        <v>17</v>
      </c>
      <c r="F1636" s="4" t="s">
        <v>1119</v>
      </c>
      <c r="G1636" s="6" t="s">
        <v>272</v>
      </c>
      <c r="H1636" s="6">
        <v>19</v>
      </c>
      <c r="I1636" s="4" t="s">
        <v>10</v>
      </c>
      <c r="J1636" s="4" t="s">
        <v>15</v>
      </c>
      <c r="K1636" s="4" t="s">
        <v>0</v>
      </c>
    </row>
    <row r="1637" spans="1:11" ht="15.75" hidden="1" customHeight="1" x14ac:dyDescent="0.2">
      <c r="B1637" s="4" t="s">
        <v>8</v>
      </c>
      <c r="C1637" s="4" t="s">
        <v>1118</v>
      </c>
      <c r="D1637" s="4" t="s">
        <v>66</v>
      </c>
      <c r="E1637" s="4" t="s">
        <v>23</v>
      </c>
      <c r="F1637" s="4" t="s">
        <v>1117</v>
      </c>
      <c r="G1637" s="7" t="str">
        <f>HYPERLINK("https://www.facebook.com/PFATrivandrum/posts/1459798687439102","Social media")</f>
        <v>Social media</v>
      </c>
      <c r="H1637" s="6" t="s">
        <v>11</v>
      </c>
      <c r="I1637" s="4" t="s">
        <v>10</v>
      </c>
      <c r="J1637" s="4" t="s">
        <v>20</v>
      </c>
      <c r="K1637" s="4" t="s">
        <v>0</v>
      </c>
    </row>
    <row r="1638" spans="1:11" ht="15.75" hidden="1" customHeight="1" x14ac:dyDescent="0.2">
      <c r="B1638" s="4" t="s">
        <v>8</v>
      </c>
      <c r="C1638" s="4" t="s">
        <v>271</v>
      </c>
      <c r="D1638" s="4" t="s">
        <v>94</v>
      </c>
      <c r="E1638" s="4" t="s">
        <v>17</v>
      </c>
      <c r="F1638" s="4" t="s">
        <v>1116</v>
      </c>
      <c r="G1638" s="6" t="s">
        <v>272</v>
      </c>
      <c r="H1638" s="6">
        <v>19</v>
      </c>
      <c r="I1638" s="4" t="s">
        <v>10</v>
      </c>
      <c r="J1638" s="4" t="s">
        <v>15</v>
      </c>
      <c r="K1638" s="4" t="s">
        <v>0</v>
      </c>
    </row>
    <row r="1639" spans="1:11" ht="15.75" customHeight="1" x14ac:dyDescent="0.2">
      <c r="A1639" s="1">
        <v>81</v>
      </c>
      <c r="B1639" s="4" t="s">
        <v>8</v>
      </c>
      <c r="C1639" s="4" t="s">
        <v>1115</v>
      </c>
      <c r="D1639" s="4" t="s">
        <v>88</v>
      </c>
      <c r="E1639" s="4" t="s">
        <v>5</v>
      </c>
      <c r="F1639" s="4" t="s">
        <v>1114</v>
      </c>
      <c r="G1639" s="7" t="s">
        <v>3</v>
      </c>
      <c r="H1639" s="6" t="s">
        <v>3</v>
      </c>
      <c r="I1639" s="4" t="s">
        <v>21</v>
      </c>
      <c r="J1639" s="4" t="s">
        <v>15</v>
      </c>
      <c r="K1639" s="4" t="s">
        <v>64</v>
      </c>
    </row>
    <row r="1640" spans="1:11" ht="15.75" hidden="1" customHeight="1" x14ac:dyDescent="0.2">
      <c r="B1640" s="4" t="s">
        <v>8</v>
      </c>
      <c r="C1640" s="4" t="s">
        <v>95</v>
      </c>
      <c r="D1640" s="4" t="s">
        <v>94</v>
      </c>
      <c r="E1640" s="4" t="s">
        <v>5</v>
      </c>
      <c r="F1640" s="4" t="s">
        <v>1113</v>
      </c>
      <c r="G1640" s="7" t="s">
        <v>11</v>
      </c>
      <c r="H1640" s="6" t="s">
        <v>11</v>
      </c>
      <c r="I1640" s="4" t="s">
        <v>197</v>
      </c>
      <c r="J1640" s="4" t="s">
        <v>196</v>
      </c>
      <c r="K1640" s="4" t="s">
        <v>108</v>
      </c>
    </row>
    <row r="1641" spans="1:11" ht="15.75" hidden="1" customHeight="1" x14ac:dyDescent="0.2">
      <c r="B1641" s="4" t="s">
        <v>8</v>
      </c>
      <c r="C1641" s="4" t="s">
        <v>228</v>
      </c>
      <c r="D1641" s="4" t="s">
        <v>36</v>
      </c>
      <c r="E1641" s="4" t="s">
        <v>159</v>
      </c>
      <c r="F1641" s="4" t="s">
        <v>1112</v>
      </c>
      <c r="G1641" s="4" t="s">
        <v>289</v>
      </c>
      <c r="H1641" s="6" t="s">
        <v>272</v>
      </c>
      <c r="I1641" s="4" t="s">
        <v>281</v>
      </c>
      <c r="J1641" s="4" t="s">
        <v>814</v>
      </c>
      <c r="K1641" s="4" t="s">
        <v>280</v>
      </c>
    </row>
    <row r="1642" spans="1:11" ht="15.75" hidden="1" customHeight="1" x14ac:dyDescent="0.2">
      <c r="B1642" s="4" t="s">
        <v>8</v>
      </c>
      <c r="C1642" s="4" t="s">
        <v>104</v>
      </c>
      <c r="D1642" s="4" t="s">
        <v>18</v>
      </c>
      <c r="E1642" s="4" t="s">
        <v>159</v>
      </c>
      <c r="F1642" s="4" t="s">
        <v>1111</v>
      </c>
      <c r="G1642" s="7" t="str">
        <f>HYPERLINK("https://www.facebook.com/groups/1667058386874380/permalink/1892005351046348/","Social media")</f>
        <v>Social media</v>
      </c>
      <c r="H1642" s="6" t="s">
        <v>11</v>
      </c>
      <c r="I1642" s="4" t="s">
        <v>10</v>
      </c>
      <c r="J1642" s="4" t="s">
        <v>15</v>
      </c>
      <c r="K1642" s="4" t="s">
        <v>0</v>
      </c>
    </row>
    <row r="1643" spans="1:11" ht="15.75" hidden="1" customHeight="1" x14ac:dyDescent="0.2">
      <c r="B1643" s="4" t="s">
        <v>8</v>
      </c>
      <c r="C1643" s="4" t="s">
        <v>228</v>
      </c>
      <c r="D1643" s="4" t="s">
        <v>36</v>
      </c>
      <c r="E1643" s="4" t="s">
        <v>17</v>
      </c>
      <c r="F1643" s="4" t="s">
        <v>1110</v>
      </c>
      <c r="G1643" s="4" t="s">
        <v>289</v>
      </c>
      <c r="H1643" s="6" t="s">
        <v>272</v>
      </c>
      <c r="I1643" s="4" t="s">
        <v>281</v>
      </c>
      <c r="J1643" s="4" t="s">
        <v>618</v>
      </c>
      <c r="K1643" s="4" t="s">
        <v>280</v>
      </c>
    </row>
    <row r="1644" spans="1:11" ht="15.75" hidden="1" customHeight="1" x14ac:dyDescent="0.2">
      <c r="B1644" s="4" t="s">
        <v>8</v>
      </c>
      <c r="C1644" s="4" t="s">
        <v>89</v>
      </c>
      <c r="D1644" s="4" t="s">
        <v>88</v>
      </c>
      <c r="E1644" s="4" t="s">
        <v>5</v>
      </c>
      <c r="F1644" s="4" t="s">
        <v>1109</v>
      </c>
      <c r="G1644" s="7" t="s">
        <v>11</v>
      </c>
      <c r="H1644" s="6" t="s">
        <v>11</v>
      </c>
      <c r="I1644" s="4" t="s">
        <v>2</v>
      </c>
      <c r="J1644" s="4" t="s">
        <v>15</v>
      </c>
      <c r="K1644" s="4" t="s">
        <v>0</v>
      </c>
    </row>
    <row r="1645" spans="1:11" ht="15.75" hidden="1" customHeight="1" x14ac:dyDescent="0.2">
      <c r="B1645" s="4" t="s">
        <v>8</v>
      </c>
      <c r="C1645" s="4"/>
      <c r="D1645" s="4" t="s">
        <v>236</v>
      </c>
      <c r="E1645" s="4" t="s">
        <v>5</v>
      </c>
      <c r="F1645" s="4" t="s">
        <v>1108</v>
      </c>
      <c r="G1645" s="7" t="str">
        <f>HYPERLINK("https://www.facebook.com/groups/goapetlife/permalink/951032671663362/","Social media")</f>
        <v>Social media</v>
      </c>
      <c r="H1645" s="6" t="s">
        <v>11</v>
      </c>
      <c r="I1645" s="4" t="s">
        <v>10</v>
      </c>
      <c r="J1645" s="4" t="s">
        <v>15</v>
      </c>
      <c r="K1645" s="4" t="s">
        <v>0</v>
      </c>
    </row>
    <row r="1646" spans="1:11" ht="15.75" hidden="1" customHeight="1" x14ac:dyDescent="0.2">
      <c r="B1646" s="4" t="s">
        <v>8</v>
      </c>
      <c r="C1646" s="4" t="s">
        <v>228</v>
      </c>
      <c r="D1646" s="4" t="s">
        <v>36</v>
      </c>
      <c r="E1646" s="4" t="s">
        <v>159</v>
      </c>
      <c r="F1646" s="4" t="s">
        <v>1107</v>
      </c>
      <c r="G1646" s="4" t="s">
        <v>289</v>
      </c>
      <c r="H1646" s="6" t="s">
        <v>272</v>
      </c>
      <c r="I1646" s="4" t="s">
        <v>281</v>
      </c>
      <c r="J1646" s="4" t="s">
        <v>814</v>
      </c>
      <c r="K1646" s="4" t="s">
        <v>280</v>
      </c>
    </row>
    <row r="1647" spans="1:11" ht="15.75" hidden="1" customHeight="1" x14ac:dyDescent="0.2">
      <c r="B1647" s="4" t="s">
        <v>8</v>
      </c>
      <c r="C1647" s="4" t="s">
        <v>1106</v>
      </c>
      <c r="D1647" s="4" t="s">
        <v>877</v>
      </c>
      <c r="E1647" s="4" t="s">
        <v>5</v>
      </c>
      <c r="F1647" s="4" t="s">
        <v>1105</v>
      </c>
      <c r="G1647" s="7" t="str">
        <f>HYPERLINK("https://www.facebook.com/groups/indiaanimalforum/permalink/818110154937898/","Social media")</f>
        <v>Social media</v>
      </c>
      <c r="H1647" s="6" t="s">
        <v>11</v>
      </c>
      <c r="I1647" s="4" t="s">
        <v>10</v>
      </c>
      <c r="J1647" s="4" t="s">
        <v>215</v>
      </c>
      <c r="K1647" s="4" t="s">
        <v>0</v>
      </c>
    </row>
    <row r="1648" spans="1:11" ht="15.75" hidden="1" customHeight="1" x14ac:dyDescent="0.2">
      <c r="B1648" s="4" t="s">
        <v>8</v>
      </c>
      <c r="C1648" s="4" t="s">
        <v>111</v>
      </c>
      <c r="D1648" s="4" t="s">
        <v>24</v>
      </c>
      <c r="E1648" s="4" t="s">
        <v>27</v>
      </c>
      <c r="F1648" s="4" t="s">
        <v>1104</v>
      </c>
      <c r="G1648" s="4" t="s">
        <v>447</v>
      </c>
      <c r="H1648" s="6" t="s">
        <v>272</v>
      </c>
      <c r="I1648" s="4" t="s">
        <v>10</v>
      </c>
      <c r="J1648" s="4" t="s">
        <v>20</v>
      </c>
      <c r="K1648" s="4" t="s">
        <v>0</v>
      </c>
    </row>
    <row r="1649" spans="1:11" ht="15.75" hidden="1" customHeight="1" x14ac:dyDescent="0.2">
      <c r="B1649" s="4" t="s">
        <v>8</v>
      </c>
      <c r="C1649" s="4" t="s">
        <v>139</v>
      </c>
      <c r="D1649" s="4" t="s">
        <v>18</v>
      </c>
      <c r="E1649" s="4" t="s">
        <v>5</v>
      </c>
      <c r="F1649" s="4" t="s">
        <v>1103</v>
      </c>
      <c r="G1649" s="7" t="str">
        <f>HYPERLINK("https://www.facebook.com/resqct/photos/a.481927051100/10154802056461101/?type=3","Social media")</f>
        <v>Social media</v>
      </c>
      <c r="H1649" s="6" t="s">
        <v>11</v>
      </c>
      <c r="I1649" s="4" t="s">
        <v>10</v>
      </c>
      <c r="J1649" s="4" t="s">
        <v>15</v>
      </c>
      <c r="K1649" s="4" t="s">
        <v>0</v>
      </c>
    </row>
    <row r="1650" spans="1:11" ht="15.75" hidden="1" customHeight="1" x14ac:dyDescent="0.2">
      <c r="B1650" s="4" t="s">
        <v>8</v>
      </c>
      <c r="C1650" s="4" t="s">
        <v>104</v>
      </c>
      <c r="D1650" s="4" t="s">
        <v>18</v>
      </c>
      <c r="E1650" s="4" t="s">
        <v>23</v>
      </c>
      <c r="F1650" s="4" t="s">
        <v>1102</v>
      </c>
      <c r="G1650" s="7" t="str">
        <f>HYPERLINK("https://www.facebook.com/bluecrossofindia/photos/a.421535982169/10154926119877170/?type=3&amp;theater","Social media")</f>
        <v>Social media</v>
      </c>
      <c r="H1650" s="6" t="s">
        <v>11</v>
      </c>
      <c r="I1650" s="4" t="s">
        <v>10</v>
      </c>
      <c r="J1650" s="4" t="s">
        <v>20</v>
      </c>
      <c r="K1650" s="4" t="s">
        <v>0</v>
      </c>
    </row>
    <row r="1651" spans="1:11" ht="15.75" customHeight="1" x14ac:dyDescent="0.2">
      <c r="A1651" s="1">
        <v>82</v>
      </c>
      <c r="B1651" s="4" t="s">
        <v>8</v>
      </c>
      <c r="C1651" s="4" t="s">
        <v>111</v>
      </c>
      <c r="D1651" s="5" t="s">
        <v>24</v>
      </c>
      <c r="E1651" s="4" t="s">
        <v>27</v>
      </c>
      <c r="F1651" s="4" t="s">
        <v>1101</v>
      </c>
      <c r="G1651" s="7" t="s">
        <v>3</v>
      </c>
      <c r="H1651" s="6" t="s">
        <v>3</v>
      </c>
      <c r="I1651" s="4" t="s">
        <v>10</v>
      </c>
      <c r="J1651" s="4" t="s">
        <v>20</v>
      </c>
      <c r="K1651" s="4" t="s">
        <v>0</v>
      </c>
    </row>
    <row r="1652" spans="1:11" ht="15.75" hidden="1" customHeight="1" x14ac:dyDescent="0.2">
      <c r="B1652" s="4" t="s">
        <v>8</v>
      </c>
      <c r="C1652" s="4" t="s">
        <v>111</v>
      </c>
      <c r="D1652" s="4" t="s">
        <v>24</v>
      </c>
      <c r="E1652" s="4" t="s">
        <v>27</v>
      </c>
      <c r="F1652" s="4" t="s">
        <v>1100</v>
      </c>
      <c r="G1652" s="4" t="s">
        <v>447</v>
      </c>
      <c r="H1652" s="6" t="s">
        <v>272</v>
      </c>
      <c r="I1652" s="4" t="s">
        <v>10</v>
      </c>
      <c r="J1652" s="4" t="s">
        <v>20</v>
      </c>
      <c r="K1652" s="4" t="s">
        <v>0</v>
      </c>
    </row>
    <row r="1653" spans="1:11" ht="15.75" customHeight="1" x14ac:dyDescent="0.2">
      <c r="A1653" s="1">
        <v>83</v>
      </c>
      <c r="B1653" s="4" t="s">
        <v>8</v>
      </c>
      <c r="C1653" s="4" t="s">
        <v>408</v>
      </c>
      <c r="D1653" s="4" t="s">
        <v>28</v>
      </c>
      <c r="E1653" s="4" t="s">
        <v>27</v>
      </c>
      <c r="F1653" s="4" t="s">
        <v>1099</v>
      </c>
      <c r="G1653" s="7" t="str">
        <f>HYPERLINK("http://timesofindia.indiatimes.com/city/ahmedabad/woman-files-complaint-over-puppys-death/articleshow/56989719.cms","News")</f>
        <v>News</v>
      </c>
      <c r="H1653" s="6" t="s">
        <v>3</v>
      </c>
      <c r="I1653" s="4" t="s">
        <v>10</v>
      </c>
      <c r="J1653" s="4" t="s">
        <v>20</v>
      </c>
      <c r="K1653" s="4" t="s">
        <v>0</v>
      </c>
    </row>
    <row r="1654" spans="1:11" ht="15.75" hidden="1" customHeight="1" x14ac:dyDescent="0.2">
      <c r="B1654" s="4" t="s">
        <v>8</v>
      </c>
      <c r="C1654" s="4" t="s">
        <v>594</v>
      </c>
      <c r="D1654" s="4" t="s">
        <v>66</v>
      </c>
      <c r="E1654" s="4" t="s">
        <v>5</v>
      </c>
      <c r="F1654" s="4" t="s">
        <v>1098</v>
      </c>
      <c r="G1654" s="7" t="str">
        <f>HYPERLINK("https://www.facebook.com/pfakollam/photos/a.846990832021320/1227877270599339/?type=3&amp;theater","Social media")</f>
        <v>Social media</v>
      </c>
      <c r="H1654" s="6" t="s">
        <v>11</v>
      </c>
      <c r="I1654" s="4" t="s">
        <v>10</v>
      </c>
      <c r="J1654" s="4" t="s">
        <v>15</v>
      </c>
      <c r="K1654" s="4" t="s">
        <v>0</v>
      </c>
    </row>
    <row r="1655" spans="1:11" ht="15.75" customHeight="1" x14ac:dyDescent="0.2">
      <c r="A1655" s="1">
        <v>84</v>
      </c>
      <c r="B1655" s="4" t="s">
        <v>8</v>
      </c>
      <c r="C1655" s="4" t="s">
        <v>155</v>
      </c>
      <c r="D1655" s="4" t="s">
        <v>154</v>
      </c>
      <c r="E1655" s="4" t="s">
        <v>5</v>
      </c>
      <c r="F1655" s="4" t="s">
        <v>1097</v>
      </c>
      <c r="G1655" s="7" t="s">
        <v>3</v>
      </c>
      <c r="H1655" s="6" t="s">
        <v>3</v>
      </c>
      <c r="I1655" s="4" t="s">
        <v>10</v>
      </c>
      <c r="J1655" s="4" t="s">
        <v>15</v>
      </c>
      <c r="K1655" s="4" t="s">
        <v>0</v>
      </c>
    </row>
    <row r="1656" spans="1:11" ht="15.75" hidden="1" customHeight="1" x14ac:dyDescent="0.2">
      <c r="B1656" s="4" t="s">
        <v>8</v>
      </c>
      <c r="C1656" s="4" t="s">
        <v>878</v>
      </c>
      <c r="D1656" s="4" t="s">
        <v>877</v>
      </c>
      <c r="E1656" s="4" t="s">
        <v>5</v>
      </c>
      <c r="F1656" s="4" t="s">
        <v>1096</v>
      </c>
      <c r="G1656" s="7" t="str">
        <f>HYPERLINK("https://www.facebook.com/hopeandanimal/photos/a.197940163561027/1391286287559736/?type=3","Social media")</f>
        <v>Social media</v>
      </c>
      <c r="H1656" s="6" t="s">
        <v>11</v>
      </c>
      <c r="I1656" s="4" t="s">
        <v>10</v>
      </c>
      <c r="J1656" s="4" t="s">
        <v>15</v>
      </c>
      <c r="K1656" s="4" t="s">
        <v>0</v>
      </c>
    </row>
    <row r="1657" spans="1:11" ht="15.75" customHeight="1" x14ac:dyDescent="0.2">
      <c r="A1657" s="1">
        <v>85</v>
      </c>
      <c r="B1657" s="4" t="s">
        <v>8</v>
      </c>
      <c r="C1657" s="4" t="s">
        <v>150</v>
      </c>
      <c r="D1657" s="4" t="s">
        <v>150</v>
      </c>
      <c r="E1657" s="4" t="s">
        <v>27</v>
      </c>
      <c r="F1657" s="4" t="s">
        <v>1095</v>
      </c>
      <c r="G1657" s="7" t="s">
        <v>3</v>
      </c>
      <c r="H1657" s="6" t="s">
        <v>3</v>
      </c>
      <c r="I1657" s="4" t="s">
        <v>10</v>
      </c>
      <c r="J1657" s="4" t="s">
        <v>20</v>
      </c>
      <c r="K1657" s="4" t="s">
        <v>0</v>
      </c>
    </row>
    <row r="1658" spans="1:11" ht="15.75" hidden="1" customHeight="1" x14ac:dyDescent="0.2">
      <c r="B1658" s="4" t="s">
        <v>8</v>
      </c>
      <c r="C1658" s="4" t="s">
        <v>228</v>
      </c>
      <c r="D1658" s="4" t="s">
        <v>36</v>
      </c>
      <c r="E1658" s="4" t="s">
        <v>17</v>
      </c>
      <c r="F1658" s="4" t="s">
        <v>1094</v>
      </c>
      <c r="G1658" s="4" t="s">
        <v>289</v>
      </c>
      <c r="H1658" s="6" t="s">
        <v>272</v>
      </c>
      <c r="I1658" s="4" t="s">
        <v>281</v>
      </c>
      <c r="J1658" s="4" t="s">
        <v>618</v>
      </c>
      <c r="K1658" s="4" t="s">
        <v>280</v>
      </c>
    </row>
    <row r="1659" spans="1:11" ht="15.75" customHeight="1" x14ac:dyDescent="0.2">
      <c r="A1659" s="1">
        <v>86</v>
      </c>
      <c r="B1659" s="4" t="s">
        <v>8</v>
      </c>
      <c r="C1659" s="4" t="s">
        <v>804</v>
      </c>
      <c r="D1659" s="4" t="s">
        <v>18</v>
      </c>
      <c r="E1659" s="4" t="s">
        <v>81</v>
      </c>
      <c r="F1659" s="4" t="s">
        <v>1093</v>
      </c>
      <c r="G1659" s="7" t="str">
        <f>HYPERLINK("http://www.asianage.com/metros/mumbai/250217/monkey-freed-from-guard-who-sexually-abused-her.html","News")</f>
        <v>News</v>
      </c>
      <c r="H1659" s="6" t="s">
        <v>3</v>
      </c>
      <c r="I1659" s="4" t="s">
        <v>21</v>
      </c>
      <c r="J1659" s="4" t="s">
        <v>82</v>
      </c>
      <c r="K1659" s="4" t="s">
        <v>19</v>
      </c>
    </row>
    <row r="1660" spans="1:11" ht="15.75" hidden="1" customHeight="1" x14ac:dyDescent="0.2">
      <c r="B1660" s="4" t="s">
        <v>8</v>
      </c>
      <c r="C1660" s="4" t="s">
        <v>228</v>
      </c>
      <c r="D1660" s="4" t="s">
        <v>36</v>
      </c>
      <c r="E1660" s="4" t="s">
        <v>17</v>
      </c>
      <c r="F1660" s="4" t="s">
        <v>1092</v>
      </c>
      <c r="G1660" s="4" t="s">
        <v>289</v>
      </c>
      <c r="H1660" s="6" t="s">
        <v>272</v>
      </c>
      <c r="I1660" s="4" t="s">
        <v>21</v>
      </c>
      <c r="J1660" s="4" t="s">
        <v>50</v>
      </c>
      <c r="K1660" s="4" t="s">
        <v>1069</v>
      </c>
    </row>
    <row r="1661" spans="1:11" ht="15.75" hidden="1" customHeight="1" x14ac:dyDescent="0.2">
      <c r="B1661" s="4" t="s">
        <v>8</v>
      </c>
      <c r="C1661" s="4" t="s">
        <v>228</v>
      </c>
      <c r="D1661" s="4" t="s">
        <v>36</v>
      </c>
      <c r="E1661" s="4" t="s">
        <v>17</v>
      </c>
      <c r="F1661" s="4" t="s">
        <v>1091</v>
      </c>
      <c r="G1661" s="4" t="s">
        <v>289</v>
      </c>
      <c r="H1661" s="6" t="s">
        <v>272</v>
      </c>
      <c r="I1661" s="4" t="s">
        <v>292</v>
      </c>
      <c r="J1661" s="4" t="s">
        <v>50</v>
      </c>
      <c r="K1661" s="4" t="s">
        <v>280</v>
      </c>
    </row>
    <row r="1662" spans="1:11" ht="15.75" hidden="1" customHeight="1" x14ac:dyDescent="0.2">
      <c r="B1662" s="4" t="s">
        <v>8</v>
      </c>
      <c r="C1662" s="4" t="s">
        <v>1090</v>
      </c>
      <c r="D1662" s="4" t="s">
        <v>66</v>
      </c>
      <c r="E1662" s="4" t="s">
        <v>17</v>
      </c>
      <c r="F1662" s="4" t="s">
        <v>1089</v>
      </c>
      <c r="G1662" s="7" t="str">
        <f>HYPERLINK("https://www.facebook.com/groups/indiaanimalforum/permalink/1262178387197737/","Social media")</f>
        <v>Social media</v>
      </c>
      <c r="H1662" s="6" t="s">
        <v>11</v>
      </c>
      <c r="I1662" s="4" t="s">
        <v>2</v>
      </c>
      <c r="J1662" s="4" t="s">
        <v>1088</v>
      </c>
      <c r="K1662" s="4" t="s">
        <v>0</v>
      </c>
    </row>
    <row r="1663" spans="1:11" ht="15.75" customHeight="1" x14ac:dyDescent="0.2">
      <c r="A1663" s="1">
        <v>87</v>
      </c>
      <c r="B1663" s="4" t="s">
        <v>8</v>
      </c>
      <c r="C1663" s="4" t="s">
        <v>141</v>
      </c>
      <c r="D1663" s="4" t="s">
        <v>71</v>
      </c>
      <c r="E1663" s="4" t="s">
        <v>23</v>
      </c>
      <c r="F1663" s="4" t="s">
        <v>1087</v>
      </c>
      <c r="G1663" s="7" t="s">
        <v>199</v>
      </c>
      <c r="H1663" s="6" t="s">
        <v>3</v>
      </c>
      <c r="I1663" s="4" t="s">
        <v>10</v>
      </c>
      <c r="J1663" s="4" t="s">
        <v>15</v>
      </c>
      <c r="K1663" s="4" t="s">
        <v>0</v>
      </c>
    </row>
    <row r="1664" spans="1:11" ht="15.75" hidden="1" customHeight="1" x14ac:dyDescent="0.2">
      <c r="B1664" s="4" t="s">
        <v>8</v>
      </c>
      <c r="C1664" s="4" t="s">
        <v>222</v>
      </c>
      <c r="D1664" s="4" t="s">
        <v>28</v>
      </c>
      <c r="E1664" s="4" t="s">
        <v>17</v>
      </c>
      <c r="F1664" s="4" t="s">
        <v>1086</v>
      </c>
      <c r="G1664" s="7" t="s">
        <v>11</v>
      </c>
      <c r="H1664" s="6" t="s">
        <v>11</v>
      </c>
      <c r="I1664" s="4" t="s">
        <v>86</v>
      </c>
      <c r="J1664" s="4" t="s">
        <v>20</v>
      </c>
      <c r="K1664" s="4" t="s">
        <v>879</v>
      </c>
    </row>
    <row r="1665" spans="1:11" ht="15.75" customHeight="1" x14ac:dyDescent="0.2">
      <c r="A1665" s="1">
        <v>88</v>
      </c>
      <c r="B1665" s="4" t="s">
        <v>8</v>
      </c>
      <c r="C1665" s="4" t="s">
        <v>271</v>
      </c>
      <c r="D1665" s="4" t="s">
        <v>94</v>
      </c>
      <c r="E1665" s="4" t="s">
        <v>27</v>
      </c>
      <c r="F1665" s="4" t="s">
        <v>1085</v>
      </c>
      <c r="G1665" s="7" t="str">
        <f>HYPERLINK("https://timesofindia.indiatimes.com/city/jaipur/27-year-old-held-for-bestiality/articleshow/57697027.cms","News")</f>
        <v>News</v>
      </c>
      <c r="H1665" s="6" t="s">
        <v>3</v>
      </c>
      <c r="I1665" s="4" t="s">
        <v>109</v>
      </c>
      <c r="J1665" s="4" t="s">
        <v>82</v>
      </c>
      <c r="K1665" s="4" t="s">
        <v>108</v>
      </c>
    </row>
    <row r="1666" spans="1:11" ht="15.75" customHeight="1" x14ac:dyDescent="0.2">
      <c r="A1666" s="1">
        <v>89</v>
      </c>
      <c r="B1666" s="4" t="s">
        <v>8</v>
      </c>
      <c r="C1666" s="4" t="s">
        <v>889</v>
      </c>
      <c r="D1666" s="4" t="s">
        <v>36</v>
      </c>
      <c r="E1666" s="4" t="s">
        <v>81</v>
      </c>
      <c r="F1666" s="4" t="s">
        <v>1084</v>
      </c>
      <c r="G1666" s="7" t="str">
        <f>HYPERLINK("https://bangaloremirror.indiatimes.com/bangalore/crime/man-held-for-forcing-wife-to-have-sex-with-dog/articleshow/57861479.cms","News")</f>
        <v>News</v>
      </c>
      <c r="H1666" s="6" t="s">
        <v>3</v>
      </c>
      <c r="I1666" s="4" t="s">
        <v>10</v>
      </c>
      <c r="J1666" s="4" t="s">
        <v>82</v>
      </c>
      <c r="K1666" s="4" t="s">
        <v>0</v>
      </c>
    </row>
    <row r="1667" spans="1:11" ht="15.75" customHeight="1" x14ac:dyDescent="0.2">
      <c r="A1667" s="1">
        <v>90</v>
      </c>
      <c r="B1667" s="4" t="s">
        <v>8</v>
      </c>
      <c r="C1667" s="4" t="s">
        <v>369</v>
      </c>
      <c r="D1667" s="4" t="s">
        <v>42</v>
      </c>
      <c r="E1667" s="4" t="s">
        <v>27</v>
      </c>
      <c r="F1667" s="4" t="s">
        <v>1083</v>
      </c>
      <c r="G1667" s="7" t="str">
        <f>HYPERLINK("http://indianexpress.com/article/india/government-official-shoots-dog-dead-for-barking-at-him-4586989/","News")</f>
        <v>News</v>
      </c>
      <c r="H1667" s="6" t="s">
        <v>3</v>
      </c>
      <c r="I1667" s="4" t="s">
        <v>10</v>
      </c>
      <c r="J1667" s="4" t="s">
        <v>20</v>
      </c>
      <c r="K1667" s="4" t="s">
        <v>0</v>
      </c>
    </row>
    <row r="1668" spans="1:11" ht="15.75" customHeight="1" x14ac:dyDescent="0.2">
      <c r="A1668" s="1">
        <v>91</v>
      </c>
      <c r="B1668" s="4" t="s">
        <v>8</v>
      </c>
      <c r="C1668" s="4" t="s">
        <v>150</v>
      </c>
      <c r="D1668" s="4" t="s">
        <v>150</v>
      </c>
      <c r="E1668" s="4" t="s">
        <v>17</v>
      </c>
      <c r="F1668" s="4" t="s">
        <v>1082</v>
      </c>
      <c r="G1668" s="7" t="s">
        <v>3</v>
      </c>
      <c r="H1668" s="6" t="s">
        <v>3</v>
      </c>
      <c r="I1668" s="4" t="s">
        <v>86</v>
      </c>
      <c r="J1668" s="4" t="s">
        <v>20</v>
      </c>
      <c r="K1668" s="4" t="s">
        <v>509</v>
      </c>
    </row>
    <row r="1669" spans="1:11" ht="15.75" hidden="1" customHeight="1" x14ac:dyDescent="0.2">
      <c r="B1669" s="4" t="s">
        <v>8</v>
      </c>
      <c r="C1669" s="4"/>
      <c r="D1669" s="4" t="s">
        <v>77</v>
      </c>
      <c r="E1669" s="4" t="s">
        <v>23</v>
      </c>
      <c r="F1669" s="4" t="s">
        <v>1081</v>
      </c>
      <c r="G1669" s="7" t="str">
        <f>HYPERLINK("https://www.facebook.com/cyber.ashwath/posts/10207028324785313","Social media")</f>
        <v>Social media</v>
      </c>
      <c r="H1669" s="6" t="s">
        <v>11</v>
      </c>
      <c r="I1669" s="4" t="s">
        <v>10</v>
      </c>
      <c r="J1669" s="4" t="s">
        <v>20</v>
      </c>
      <c r="K1669" s="4" t="s">
        <v>0</v>
      </c>
    </row>
    <row r="1670" spans="1:11" ht="15.75" customHeight="1" x14ac:dyDescent="0.2">
      <c r="A1670" s="1">
        <v>92</v>
      </c>
      <c r="B1670" s="4" t="s">
        <v>8</v>
      </c>
      <c r="C1670" s="4" t="s">
        <v>1080</v>
      </c>
      <c r="D1670" s="4" t="s">
        <v>71</v>
      </c>
      <c r="E1670" s="4" t="s">
        <v>81</v>
      </c>
      <c r="F1670" s="4" t="s">
        <v>1079</v>
      </c>
      <c r="G1670" s="7" t="str">
        <f>HYPERLINK("https://timesofindia.indiatimes.com/city/gurgaon/man-arrested-for-bestiality-cctv-cameras-spotted-him/articleshow/58288377.cms","News")</f>
        <v>News</v>
      </c>
      <c r="H1670" s="6" t="s">
        <v>3</v>
      </c>
      <c r="I1670" s="4" t="s">
        <v>109</v>
      </c>
      <c r="J1670" s="4" t="s">
        <v>82</v>
      </c>
      <c r="K1670" s="4" t="s">
        <v>57</v>
      </c>
    </row>
    <row r="1671" spans="1:11" ht="15.75" customHeight="1" x14ac:dyDescent="0.2">
      <c r="A1671" s="1">
        <v>93</v>
      </c>
      <c r="B1671" s="4" t="s">
        <v>8</v>
      </c>
      <c r="C1671" s="4" t="s">
        <v>141</v>
      </c>
      <c r="D1671" s="4" t="s">
        <v>71</v>
      </c>
      <c r="E1671" s="4" t="s">
        <v>55</v>
      </c>
      <c r="F1671" s="4" t="s">
        <v>1078</v>
      </c>
      <c r="G1671" s="7" t="s">
        <v>3</v>
      </c>
      <c r="H1671" s="6" t="s">
        <v>3</v>
      </c>
      <c r="I1671" s="4" t="s">
        <v>197</v>
      </c>
      <c r="J1671" s="4" t="s">
        <v>1</v>
      </c>
      <c r="K1671" s="4" t="s">
        <v>367</v>
      </c>
    </row>
    <row r="1672" spans="1:11" ht="15.75" customHeight="1" x14ac:dyDescent="0.2">
      <c r="A1672" s="1">
        <v>94</v>
      </c>
      <c r="B1672" s="4" t="s">
        <v>8</v>
      </c>
      <c r="C1672" s="4" t="s">
        <v>137</v>
      </c>
      <c r="D1672" s="4" t="s">
        <v>71</v>
      </c>
      <c r="E1672" s="4" t="s">
        <v>159</v>
      </c>
      <c r="F1672" s="4" t="s">
        <v>1077</v>
      </c>
      <c r="G1672" s="7" t="str">
        <f>HYPERLINK("http://www.dailymail.co.uk/indiahome/indianews/article-4463764/Bulls-attacked-ACID-India.html","News")</f>
        <v>News</v>
      </c>
      <c r="H1672" s="6" t="s">
        <v>3</v>
      </c>
      <c r="I1672" s="4" t="s">
        <v>10</v>
      </c>
      <c r="J1672" s="4" t="s">
        <v>15</v>
      </c>
      <c r="K1672" s="4" t="s">
        <v>34</v>
      </c>
    </row>
    <row r="1673" spans="1:11" ht="15.75" hidden="1" customHeight="1" x14ac:dyDescent="0.2">
      <c r="B1673" s="4" t="s">
        <v>8</v>
      </c>
      <c r="C1673" s="4" t="s">
        <v>566</v>
      </c>
      <c r="D1673" s="4" t="s">
        <v>42</v>
      </c>
      <c r="E1673" s="4" t="s">
        <v>5</v>
      </c>
      <c r="F1673" s="4" t="s">
        <v>1076</v>
      </c>
      <c r="G1673" s="7" t="s">
        <v>11</v>
      </c>
      <c r="H1673" s="6" t="s">
        <v>11</v>
      </c>
      <c r="I1673" s="4" t="s">
        <v>10</v>
      </c>
      <c r="J1673" s="4" t="s">
        <v>15</v>
      </c>
      <c r="K1673" s="4" t="s">
        <v>0</v>
      </c>
    </row>
    <row r="1674" spans="1:11" ht="15.75" customHeight="1" x14ac:dyDescent="0.2">
      <c r="A1674" s="1">
        <v>95</v>
      </c>
      <c r="B1674" s="4" t="s">
        <v>8</v>
      </c>
      <c r="C1674" s="4" t="s">
        <v>104</v>
      </c>
      <c r="D1674" s="4" t="s">
        <v>18</v>
      </c>
      <c r="E1674" s="4" t="s">
        <v>23</v>
      </c>
      <c r="F1674" s="4" t="s">
        <v>1075</v>
      </c>
      <c r="G1674" s="7" t="str">
        <f>HYPERLINK("http://www.dnaindia.com/mumbai/report-thane-session-court-rejects-bail-to-accused-for-making-bombs-to-hunt-animals-2607988","News")</f>
        <v>News</v>
      </c>
      <c r="H1674" s="6" t="s">
        <v>3</v>
      </c>
      <c r="I1674" s="4" t="s">
        <v>21</v>
      </c>
      <c r="J1674" s="4" t="s">
        <v>371</v>
      </c>
      <c r="K1674" s="4" t="s">
        <v>1074</v>
      </c>
    </row>
    <row r="1675" spans="1:11" ht="15.75" customHeight="1" x14ac:dyDescent="0.2">
      <c r="A1675" s="1">
        <v>96</v>
      </c>
      <c r="B1675" s="4" t="s">
        <v>8</v>
      </c>
      <c r="C1675" s="4" t="s">
        <v>72</v>
      </c>
      <c r="D1675" s="4" t="s">
        <v>71</v>
      </c>
      <c r="E1675" s="4" t="s">
        <v>23</v>
      </c>
      <c r="F1675" s="4" t="s">
        <v>1073</v>
      </c>
      <c r="G1675" s="7" t="s">
        <v>707</v>
      </c>
      <c r="H1675" s="6" t="s">
        <v>3</v>
      </c>
      <c r="I1675" s="4" t="s">
        <v>2</v>
      </c>
      <c r="J1675" s="4" t="s">
        <v>1</v>
      </c>
      <c r="K1675" s="4" t="s">
        <v>0</v>
      </c>
    </row>
    <row r="1676" spans="1:11" ht="15.75" hidden="1" customHeight="1" x14ac:dyDescent="0.2">
      <c r="B1676" s="4" t="s">
        <v>8</v>
      </c>
      <c r="C1676" s="4" t="s">
        <v>228</v>
      </c>
      <c r="D1676" s="4" t="s">
        <v>36</v>
      </c>
      <c r="E1676" s="4" t="s">
        <v>159</v>
      </c>
      <c r="F1676" s="4" t="s">
        <v>1072</v>
      </c>
      <c r="G1676" s="4" t="s">
        <v>273</v>
      </c>
      <c r="H1676" s="6" t="s">
        <v>272</v>
      </c>
      <c r="I1676" s="4" t="s">
        <v>10</v>
      </c>
      <c r="J1676" s="4" t="s">
        <v>215</v>
      </c>
      <c r="K1676" s="4" t="s">
        <v>0</v>
      </c>
    </row>
    <row r="1677" spans="1:11" ht="15.75" customHeight="1" x14ac:dyDescent="0.2">
      <c r="A1677" s="1">
        <v>97</v>
      </c>
      <c r="B1677" s="4" t="s">
        <v>8</v>
      </c>
      <c r="C1677" s="4"/>
      <c r="D1677" s="4" t="s">
        <v>77</v>
      </c>
      <c r="E1677" s="4" t="s">
        <v>5</v>
      </c>
      <c r="F1677" s="4" t="s">
        <v>1071</v>
      </c>
      <c r="G1677" s="7" t="str">
        <f>HYPERLINK("https://www.thehindu.com/news/cities/chennai/reward-offered-for-tip-off-on-wildlife-offender/article18348951.ece","News")</f>
        <v>News</v>
      </c>
      <c r="H1677" s="6" t="s">
        <v>3</v>
      </c>
      <c r="I1677" s="4" t="s">
        <v>21</v>
      </c>
      <c r="J1677" s="4" t="s">
        <v>15</v>
      </c>
      <c r="K1677" s="4" t="s">
        <v>514</v>
      </c>
    </row>
    <row r="1678" spans="1:11" ht="15.75" hidden="1" customHeight="1" x14ac:dyDescent="0.2">
      <c r="B1678" s="4" t="s">
        <v>8</v>
      </c>
      <c r="C1678" s="4" t="s">
        <v>228</v>
      </c>
      <c r="D1678" s="4" t="s">
        <v>36</v>
      </c>
      <c r="E1678" s="4" t="s">
        <v>17</v>
      </c>
      <c r="F1678" s="4" t="s">
        <v>1070</v>
      </c>
      <c r="G1678" s="4" t="s">
        <v>289</v>
      </c>
      <c r="H1678" s="6" t="s">
        <v>272</v>
      </c>
      <c r="I1678" s="4" t="s">
        <v>21</v>
      </c>
      <c r="J1678" s="4" t="s">
        <v>50</v>
      </c>
      <c r="K1678" s="4" t="s">
        <v>1069</v>
      </c>
    </row>
    <row r="1679" spans="1:11" ht="15.75" hidden="1" customHeight="1" x14ac:dyDescent="0.2">
      <c r="B1679" s="4" t="s">
        <v>8</v>
      </c>
      <c r="C1679" s="4" t="s">
        <v>228</v>
      </c>
      <c r="D1679" s="4" t="s">
        <v>36</v>
      </c>
      <c r="E1679" s="4" t="s">
        <v>159</v>
      </c>
      <c r="F1679" s="4" t="s">
        <v>1068</v>
      </c>
      <c r="G1679" s="4" t="s">
        <v>273</v>
      </c>
      <c r="H1679" s="6" t="s">
        <v>272</v>
      </c>
      <c r="I1679" s="4" t="s">
        <v>10</v>
      </c>
      <c r="J1679" s="4" t="s">
        <v>215</v>
      </c>
      <c r="K1679" s="4" t="s">
        <v>75</v>
      </c>
    </row>
    <row r="1680" spans="1:11" ht="15.75" customHeight="1" x14ac:dyDescent="0.2">
      <c r="A1680" s="1">
        <v>98</v>
      </c>
      <c r="B1680" s="4" t="s">
        <v>8</v>
      </c>
      <c r="C1680" s="4" t="s">
        <v>72</v>
      </c>
      <c r="D1680" s="4" t="s">
        <v>71</v>
      </c>
      <c r="E1680" s="4" t="s">
        <v>23</v>
      </c>
      <c r="F1680" s="4" t="s">
        <v>1067</v>
      </c>
      <c r="G1680" s="7" t="s">
        <v>707</v>
      </c>
      <c r="H1680" s="6" t="s">
        <v>3</v>
      </c>
      <c r="I1680" s="4" t="s">
        <v>2</v>
      </c>
      <c r="J1680" s="4" t="s">
        <v>20</v>
      </c>
      <c r="K1680" s="4" t="s">
        <v>0</v>
      </c>
    </row>
    <row r="1681" spans="1:11" ht="15.75" hidden="1" customHeight="1" x14ac:dyDescent="0.2">
      <c r="B1681" s="4" t="s">
        <v>8</v>
      </c>
      <c r="C1681" s="4" t="s">
        <v>1066</v>
      </c>
      <c r="D1681" s="4" t="s">
        <v>71</v>
      </c>
      <c r="E1681" s="4" t="s">
        <v>5</v>
      </c>
      <c r="F1681" s="4" t="s">
        <v>1065</v>
      </c>
      <c r="G1681" s="7" t="s">
        <v>11</v>
      </c>
      <c r="H1681" s="6" t="s">
        <v>11</v>
      </c>
      <c r="I1681" s="4" t="s">
        <v>10</v>
      </c>
      <c r="J1681" s="4" t="s">
        <v>15</v>
      </c>
      <c r="K1681" s="4" t="s">
        <v>34</v>
      </c>
    </row>
    <row r="1682" spans="1:11" ht="15.75" customHeight="1" x14ac:dyDescent="0.2">
      <c r="A1682" s="1">
        <v>99</v>
      </c>
      <c r="B1682" s="4" t="s">
        <v>8</v>
      </c>
      <c r="C1682" s="4" t="s">
        <v>63</v>
      </c>
      <c r="D1682" s="4" t="s">
        <v>62</v>
      </c>
      <c r="E1682" s="4" t="s">
        <v>23</v>
      </c>
      <c r="F1682" s="4" t="s">
        <v>1064</v>
      </c>
      <c r="G1682" s="7" t="s">
        <v>3</v>
      </c>
      <c r="H1682" s="6" t="s">
        <v>3</v>
      </c>
      <c r="I1682" s="4" t="s">
        <v>10</v>
      </c>
      <c r="J1682" s="4" t="s">
        <v>20</v>
      </c>
      <c r="K1682" s="4" t="s">
        <v>0</v>
      </c>
    </row>
    <row r="1683" spans="1:11" ht="15.75" hidden="1" customHeight="1" x14ac:dyDescent="0.2">
      <c r="B1683" s="4" t="s">
        <v>8</v>
      </c>
      <c r="C1683" s="4" t="s">
        <v>95</v>
      </c>
      <c r="D1683" s="4" t="s">
        <v>94</v>
      </c>
      <c r="E1683" s="4" t="s">
        <v>5</v>
      </c>
      <c r="F1683" s="4" t="s">
        <v>1063</v>
      </c>
      <c r="G1683" s="7" t="s">
        <v>11</v>
      </c>
      <c r="H1683" s="6" t="s">
        <v>11</v>
      </c>
      <c r="I1683" s="4" t="s">
        <v>10</v>
      </c>
      <c r="J1683" s="4" t="s">
        <v>15</v>
      </c>
      <c r="K1683" s="4" t="s">
        <v>0</v>
      </c>
    </row>
    <row r="1684" spans="1:11" ht="15.75" hidden="1" customHeight="1" x14ac:dyDescent="0.2">
      <c r="B1684" s="4" t="s">
        <v>8</v>
      </c>
      <c r="C1684" s="4" t="s">
        <v>228</v>
      </c>
      <c r="D1684" s="4" t="s">
        <v>36</v>
      </c>
      <c r="E1684" s="4" t="s">
        <v>17</v>
      </c>
      <c r="F1684" s="4" t="s">
        <v>1062</v>
      </c>
      <c r="G1684" s="4" t="s">
        <v>289</v>
      </c>
      <c r="H1684" s="6" t="s">
        <v>272</v>
      </c>
      <c r="I1684" s="4" t="s">
        <v>292</v>
      </c>
      <c r="J1684" s="4" t="s">
        <v>50</v>
      </c>
      <c r="K1684" s="4" t="s">
        <v>940</v>
      </c>
    </row>
    <row r="1685" spans="1:11" ht="15.75" hidden="1" customHeight="1" x14ac:dyDescent="0.2">
      <c r="B1685" s="4" t="s">
        <v>8</v>
      </c>
      <c r="C1685" s="4" t="s">
        <v>1061</v>
      </c>
      <c r="D1685" s="4" t="s">
        <v>77</v>
      </c>
      <c r="E1685" s="4" t="s">
        <v>5</v>
      </c>
      <c r="F1685" s="4" t="s">
        <v>1060</v>
      </c>
      <c r="G1685" s="7" t="str">
        <f>HYPERLINK("https://www.facebook.com/groups/has.cbe/permalink/10155322503402421/","Social media")</f>
        <v>Social media</v>
      </c>
      <c r="H1685" s="6" t="s">
        <v>11</v>
      </c>
      <c r="I1685" s="4" t="s">
        <v>10</v>
      </c>
      <c r="J1685" s="4" t="s">
        <v>15</v>
      </c>
      <c r="K1685" s="4" t="s">
        <v>1059</v>
      </c>
    </row>
    <row r="1686" spans="1:11" ht="15.75" hidden="1" customHeight="1" x14ac:dyDescent="0.2">
      <c r="B1686" s="4" t="s">
        <v>8</v>
      </c>
      <c r="C1686" s="4" t="s">
        <v>228</v>
      </c>
      <c r="D1686" s="4" t="s">
        <v>36</v>
      </c>
      <c r="E1686" s="4" t="s">
        <v>17</v>
      </c>
      <c r="F1686" s="4" t="s">
        <v>1058</v>
      </c>
      <c r="G1686" s="4" t="s">
        <v>289</v>
      </c>
      <c r="H1686" s="6" t="s">
        <v>272</v>
      </c>
      <c r="I1686" s="4" t="s">
        <v>292</v>
      </c>
      <c r="J1686" s="4" t="s">
        <v>50</v>
      </c>
      <c r="K1686" s="4" t="s">
        <v>280</v>
      </c>
    </row>
    <row r="1687" spans="1:11" ht="15.75" hidden="1" customHeight="1" x14ac:dyDescent="0.2">
      <c r="B1687" s="4" t="s">
        <v>8</v>
      </c>
      <c r="C1687" s="4" t="s">
        <v>271</v>
      </c>
      <c r="D1687" s="4" t="s">
        <v>94</v>
      </c>
      <c r="E1687" s="4" t="s">
        <v>5</v>
      </c>
      <c r="F1687" s="4" t="s">
        <v>1057</v>
      </c>
      <c r="G1687" s="7" t="s">
        <v>11</v>
      </c>
      <c r="H1687" s="6" t="s">
        <v>11</v>
      </c>
      <c r="I1687" s="4" t="s">
        <v>10</v>
      </c>
      <c r="J1687" s="4" t="s">
        <v>15</v>
      </c>
      <c r="K1687" s="4" t="s">
        <v>34</v>
      </c>
    </row>
    <row r="1688" spans="1:11" ht="15.75" customHeight="1" x14ac:dyDescent="0.2">
      <c r="A1688" s="1">
        <v>100</v>
      </c>
      <c r="B1688" s="4" t="s">
        <v>8</v>
      </c>
      <c r="C1688" s="4" t="s">
        <v>624</v>
      </c>
      <c r="D1688" s="4" t="s">
        <v>154</v>
      </c>
      <c r="E1688" s="4" t="s">
        <v>23</v>
      </c>
      <c r="F1688" s="4" t="s">
        <v>1056</v>
      </c>
      <c r="G1688" s="7" t="s">
        <v>3</v>
      </c>
      <c r="H1688" s="6" t="s">
        <v>3</v>
      </c>
      <c r="I1688" s="4" t="s">
        <v>10</v>
      </c>
      <c r="J1688" s="4" t="s">
        <v>20</v>
      </c>
      <c r="K1688" s="4" t="s">
        <v>0</v>
      </c>
    </row>
    <row r="1689" spans="1:11" ht="15.75" hidden="1" customHeight="1" x14ac:dyDescent="0.2">
      <c r="B1689" s="4" t="s">
        <v>8</v>
      </c>
      <c r="C1689" s="4" t="s">
        <v>139</v>
      </c>
      <c r="D1689" s="4" t="s">
        <v>18</v>
      </c>
      <c r="E1689" s="4" t="s">
        <v>23</v>
      </c>
      <c r="F1689" s="4" t="s">
        <v>1055</v>
      </c>
      <c r="G1689" s="7" t="str">
        <f>HYPERLINK("https://www.facebook.com/aactindia/photos/a.762142040627912/762143810627735/?type=3","Social media")</f>
        <v>Social media</v>
      </c>
      <c r="H1689" s="6" t="s">
        <v>11</v>
      </c>
      <c r="I1689" s="4" t="s">
        <v>414</v>
      </c>
      <c r="J1689" s="4" t="s">
        <v>20</v>
      </c>
      <c r="K1689" s="4" t="s">
        <v>1054</v>
      </c>
    </row>
    <row r="1690" spans="1:11" ht="15.75" customHeight="1" x14ac:dyDescent="0.2">
      <c r="A1690" s="1">
        <v>101</v>
      </c>
      <c r="B1690" s="4" t="s">
        <v>8</v>
      </c>
      <c r="C1690" s="4" t="s">
        <v>104</v>
      </c>
      <c r="D1690" s="4" t="s">
        <v>18</v>
      </c>
      <c r="E1690" s="4" t="s">
        <v>27</v>
      </c>
      <c r="F1690" s="4" t="s">
        <v>1053</v>
      </c>
      <c r="G1690" s="7" t="str">
        <f>HYPERLINK("http://timesofindia.indiatimes.com/city/mumbai/mumbai-office-peon-kills-lame-kitten-captured-on-cctv/articleshow/58964421.cms","News")</f>
        <v>News</v>
      </c>
      <c r="H1690" s="6" t="s">
        <v>3</v>
      </c>
      <c r="I1690" s="4" t="s">
        <v>10</v>
      </c>
      <c r="J1690" s="4" t="s">
        <v>20</v>
      </c>
      <c r="K1690" s="4" t="s">
        <v>75</v>
      </c>
    </row>
    <row r="1691" spans="1:11" ht="15.75" hidden="1" customHeight="1" x14ac:dyDescent="0.2">
      <c r="B1691" s="4" t="s">
        <v>8</v>
      </c>
      <c r="C1691" s="4" t="s">
        <v>89</v>
      </c>
      <c r="D1691" s="4" t="s">
        <v>88</v>
      </c>
      <c r="E1691" s="4" t="s">
        <v>17</v>
      </c>
      <c r="F1691" s="4" t="s">
        <v>1052</v>
      </c>
      <c r="G1691" s="7" t="s">
        <v>11</v>
      </c>
      <c r="H1691" s="6" t="s">
        <v>11</v>
      </c>
      <c r="I1691" s="4" t="s">
        <v>197</v>
      </c>
      <c r="J1691" s="4" t="s">
        <v>196</v>
      </c>
      <c r="K1691" s="4" t="s">
        <v>57</v>
      </c>
    </row>
    <row r="1692" spans="1:11" ht="15.75" hidden="1" customHeight="1" x14ac:dyDescent="0.2">
      <c r="B1692" s="4" t="s">
        <v>8</v>
      </c>
      <c r="C1692" s="4" t="s">
        <v>299</v>
      </c>
      <c r="D1692" s="4" t="s">
        <v>28</v>
      </c>
      <c r="E1692" s="4" t="s">
        <v>5</v>
      </c>
      <c r="F1692" s="4" t="s">
        <v>1051</v>
      </c>
      <c r="G1692" s="7" t="s">
        <v>11</v>
      </c>
      <c r="H1692" s="6" t="s">
        <v>11</v>
      </c>
      <c r="I1692" s="4" t="s">
        <v>10</v>
      </c>
      <c r="J1692" s="4" t="s">
        <v>15</v>
      </c>
      <c r="K1692" s="4" t="s">
        <v>0</v>
      </c>
    </row>
    <row r="1693" spans="1:11" ht="15.75" customHeight="1" x14ac:dyDescent="0.2">
      <c r="A1693" s="1">
        <v>102</v>
      </c>
      <c r="B1693" s="4" t="s">
        <v>8</v>
      </c>
      <c r="C1693" s="4" t="s">
        <v>507</v>
      </c>
      <c r="D1693" s="4" t="s">
        <v>150</v>
      </c>
      <c r="E1693" s="4" t="s">
        <v>55</v>
      </c>
      <c r="F1693" s="4" t="s">
        <v>1050</v>
      </c>
      <c r="G1693" s="7" t="str">
        <f>HYPERLINK("https://timesofindia.indiatimes.com/city/delhi/Street-dog-dead-businessman-blamed/articleshow/59118330.cms","News")</f>
        <v>News</v>
      </c>
      <c r="H1693" s="6" t="s">
        <v>3</v>
      </c>
      <c r="I1693" s="4" t="s">
        <v>10</v>
      </c>
      <c r="J1693" s="4" t="s">
        <v>20</v>
      </c>
      <c r="K1693" s="4" t="s">
        <v>0</v>
      </c>
    </row>
    <row r="1694" spans="1:11" ht="15.75" hidden="1" customHeight="1" x14ac:dyDescent="0.2">
      <c r="B1694" s="4" t="s">
        <v>8</v>
      </c>
      <c r="C1694" s="4" t="s">
        <v>130</v>
      </c>
      <c r="D1694" s="4" t="s">
        <v>77</v>
      </c>
      <c r="E1694" s="4" t="s">
        <v>5</v>
      </c>
      <c r="F1694" s="4" t="s">
        <v>1049</v>
      </c>
      <c r="G1694" s="7" t="str">
        <f>HYPERLINK("https://www.youtube.com/watch?time_continue=16&amp;v=k-GrO9UPd0M&amp;feature=emb_logo","Youtube")</f>
        <v>Youtube</v>
      </c>
      <c r="H1694" s="6" t="s">
        <v>3</v>
      </c>
      <c r="I1694" s="4" t="s">
        <v>10</v>
      </c>
      <c r="J1694" s="4" t="s">
        <v>15</v>
      </c>
      <c r="K1694" s="4" t="s">
        <v>34</v>
      </c>
    </row>
    <row r="1695" spans="1:11" ht="15.75" hidden="1" customHeight="1" x14ac:dyDescent="0.2">
      <c r="B1695" s="4" t="s">
        <v>8</v>
      </c>
      <c r="C1695" s="4" t="s">
        <v>299</v>
      </c>
      <c r="D1695" s="4" t="s">
        <v>28</v>
      </c>
      <c r="E1695" s="4" t="s">
        <v>5</v>
      </c>
      <c r="F1695" s="4" t="s">
        <v>1048</v>
      </c>
      <c r="G1695" s="7" t="s">
        <v>11</v>
      </c>
      <c r="H1695" s="6" t="s">
        <v>11</v>
      </c>
      <c r="I1695" s="4" t="s">
        <v>10</v>
      </c>
      <c r="J1695" s="4" t="s">
        <v>15</v>
      </c>
      <c r="K1695" s="4" t="s">
        <v>0</v>
      </c>
    </row>
    <row r="1696" spans="1:11" ht="15.75" customHeight="1" x14ac:dyDescent="0.2">
      <c r="A1696" s="1">
        <v>103</v>
      </c>
      <c r="B1696" s="4" t="s">
        <v>8</v>
      </c>
      <c r="C1696" s="4" t="s">
        <v>1047</v>
      </c>
      <c r="D1696" s="4" t="s">
        <v>42</v>
      </c>
      <c r="E1696" s="4" t="s">
        <v>55</v>
      </c>
      <c r="F1696" s="4" t="s">
        <v>1046</v>
      </c>
      <c r="G1696" s="7" t="s">
        <v>3</v>
      </c>
      <c r="H1696" s="6" t="s">
        <v>3</v>
      </c>
      <c r="I1696" s="4" t="s">
        <v>197</v>
      </c>
      <c r="J1696" s="4" t="s">
        <v>1</v>
      </c>
      <c r="K1696" s="4" t="s">
        <v>367</v>
      </c>
    </row>
    <row r="1697" spans="1:11" ht="15.75" hidden="1" customHeight="1" x14ac:dyDescent="0.2">
      <c r="B1697" s="4" t="s">
        <v>8</v>
      </c>
      <c r="C1697" s="4" t="s">
        <v>228</v>
      </c>
      <c r="D1697" s="4" t="s">
        <v>36</v>
      </c>
      <c r="E1697" s="4" t="s">
        <v>159</v>
      </c>
      <c r="F1697" s="4" t="s">
        <v>1045</v>
      </c>
      <c r="G1697" s="4" t="s">
        <v>289</v>
      </c>
      <c r="H1697" s="6" t="s">
        <v>272</v>
      </c>
      <c r="I1697" s="4" t="s">
        <v>281</v>
      </c>
      <c r="J1697" s="4" t="s">
        <v>618</v>
      </c>
      <c r="K1697" s="4" t="s">
        <v>280</v>
      </c>
    </row>
    <row r="1698" spans="1:11" ht="15.75" hidden="1" customHeight="1" x14ac:dyDescent="0.2">
      <c r="B1698" s="4" t="s">
        <v>8</v>
      </c>
      <c r="C1698" s="4" t="s">
        <v>358</v>
      </c>
      <c r="D1698" s="4" t="s">
        <v>42</v>
      </c>
      <c r="E1698" s="4" t="s">
        <v>5</v>
      </c>
      <c r="F1698" s="4" t="s">
        <v>1044</v>
      </c>
      <c r="G1698" s="7" t="s">
        <v>11</v>
      </c>
      <c r="H1698" s="6" t="s">
        <v>11</v>
      </c>
      <c r="I1698" s="4" t="s">
        <v>10</v>
      </c>
      <c r="J1698" s="4" t="s">
        <v>20</v>
      </c>
      <c r="K1698" s="4" t="s">
        <v>0</v>
      </c>
    </row>
    <row r="1699" spans="1:11" ht="15.75" hidden="1" customHeight="1" x14ac:dyDescent="0.2">
      <c r="B1699" s="4" t="s">
        <v>8</v>
      </c>
      <c r="C1699" s="4" t="s">
        <v>228</v>
      </c>
      <c r="D1699" s="4" t="s">
        <v>36</v>
      </c>
      <c r="E1699" s="4" t="s">
        <v>159</v>
      </c>
      <c r="F1699" s="4" t="s">
        <v>1043</v>
      </c>
      <c r="G1699" s="4" t="s">
        <v>289</v>
      </c>
      <c r="H1699" s="6" t="s">
        <v>272</v>
      </c>
      <c r="I1699" s="4" t="s">
        <v>292</v>
      </c>
      <c r="J1699" s="4" t="s">
        <v>50</v>
      </c>
      <c r="K1699" s="4" t="s">
        <v>1042</v>
      </c>
    </row>
    <row r="1700" spans="1:11" ht="15.75" customHeight="1" x14ac:dyDescent="0.2">
      <c r="A1700" s="1">
        <v>104</v>
      </c>
      <c r="B1700" s="4" t="s">
        <v>8</v>
      </c>
      <c r="C1700" s="4" t="s">
        <v>1041</v>
      </c>
      <c r="D1700" s="4" t="s">
        <v>66</v>
      </c>
      <c r="E1700" s="4" t="s">
        <v>23</v>
      </c>
      <c r="F1700" s="4" t="s">
        <v>1040</v>
      </c>
      <c r="G1700" s="7" t="str">
        <f>HYPERLINK(" http://www.hindustantimes.com/india-news/wild-elephant-dies-in-kerala-s-munnar-after-it-is-chased-attacked-using-earthmover/story-lpcgWaFCKpQI8QHfFOBjEJ.html","News")</f>
        <v>News</v>
      </c>
      <c r="H1700" s="6" t="s">
        <v>3</v>
      </c>
      <c r="I1700" s="4" t="s">
        <v>86</v>
      </c>
      <c r="J1700" s="4" t="s">
        <v>20</v>
      </c>
      <c r="K1700" s="4" t="s">
        <v>64</v>
      </c>
    </row>
    <row r="1701" spans="1:11" ht="15.75" hidden="1" customHeight="1" x14ac:dyDescent="0.2">
      <c r="B1701" s="4" t="s">
        <v>8</v>
      </c>
      <c r="C1701" s="4" t="s">
        <v>130</v>
      </c>
      <c r="D1701" s="4" t="s">
        <v>77</v>
      </c>
      <c r="E1701" s="4" t="s">
        <v>5</v>
      </c>
      <c r="F1701" s="4" t="s">
        <v>1039</v>
      </c>
      <c r="G1701" s="7" t="str">
        <f>HYPERLINK("https://www.facebook.com/almightyanimalcaretrust/posts/864949696989927","Social media")</f>
        <v>Social media</v>
      </c>
      <c r="H1701" s="6" t="s">
        <v>11</v>
      </c>
      <c r="I1701" s="4" t="s">
        <v>10</v>
      </c>
      <c r="J1701" s="4" t="s">
        <v>15</v>
      </c>
      <c r="K1701" s="4" t="s">
        <v>1038</v>
      </c>
    </row>
    <row r="1702" spans="1:11" ht="15.75" hidden="1" customHeight="1" x14ac:dyDescent="0.2">
      <c r="B1702" s="4" t="s">
        <v>8</v>
      </c>
      <c r="C1702" s="4" t="s">
        <v>1037</v>
      </c>
      <c r="D1702" s="4" t="s">
        <v>36</v>
      </c>
      <c r="E1702" s="4" t="s">
        <v>159</v>
      </c>
      <c r="F1702" s="4" t="s">
        <v>1036</v>
      </c>
      <c r="G1702" s="4" t="s">
        <v>289</v>
      </c>
      <c r="H1702" s="6" t="s">
        <v>272</v>
      </c>
      <c r="I1702" s="4" t="s">
        <v>292</v>
      </c>
      <c r="J1702" s="4" t="s">
        <v>618</v>
      </c>
      <c r="K1702" s="4" t="s">
        <v>280</v>
      </c>
    </row>
    <row r="1703" spans="1:11" ht="15.75" customHeight="1" x14ac:dyDescent="0.2">
      <c r="A1703" s="1">
        <v>105</v>
      </c>
      <c r="B1703" s="4" t="s">
        <v>8</v>
      </c>
      <c r="C1703" s="4" t="s">
        <v>1035</v>
      </c>
      <c r="D1703" s="4" t="s">
        <v>62</v>
      </c>
      <c r="E1703" s="4" t="s">
        <v>81</v>
      </c>
      <c r="F1703" s="4" t="s">
        <v>1034</v>
      </c>
      <c r="G1703" s="7" t="str">
        <f>HYPERLINK("https://www.opindia.com/2017/08/communal-tensions-in-pauri-garwal-after-a-muslim-man-rapes-a-calf/","News")</f>
        <v>News</v>
      </c>
      <c r="H1703" s="6" t="s">
        <v>3</v>
      </c>
      <c r="I1703" s="4" t="s">
        <v>109</v>
      </c>
      <c r="J1703" s="4" t="s">
        <v>82</v>
      </c>
      <c r="K1703" s="4" t="s">
        <v>108</v>
      </c>
    </row>
    <row r="1704" spans="1:11" ht="15.75" hidden="1" customHeight="1" x14ac:dyDescent="0.2">
      <c r="B1704" s="4" t="s">
        <v>8</v>
      </c>
      <c r="C1704" s="4" t="s">
        <v>95</v>
      </c>
      <c r="D1704" s="4" t="s">
        <v>94</v>
      </c>
      <c r="E1704" s="4" t="s">
        <v>5</v>
      </c>
      <c r="F1704" s="4" t="s">
        <v>1033</v>
      </c>
      <c r="G1704" s="7" t="s">
        <v>11</v>
      </c>
      <c r="H1704" s="6" t="s">
        <v>11</v>
      </c>
      <c r="I1704" s="4" t="s">
        <v>10</v>
      </c>
      <c r="J1704" s="4" t="s">
        <v>15</v>
      </c>
      <c r="K1704" s="4" t="s">
        <v>57</v>
      </c>
    </row>
    <row r="1705" spans="1:11" ht="15.75" hidden="1" customHeight="1" x14ac:dyDescent="0.2">
      <c r="B1705" s="4" t="s">
        <v>8</v>
      </c>
      <c r="C1705" s="4" t="s">
        <v>130</v>
      </c>
      <c r="D1705" s="4" t="s">
        <v>77</v>
      </c>
      <c r="E1705" s="4" t="s">
        <v>159</v>
      </c>
      <c r="F1705" s="4" t="s">
        <v>1032</v>
      </c>
      <c r="G1705" s="7" t="str">
        <f>HYPERLINK("https://www.facebook.com/watch/?v=10155534433477170","Social media")</f>
        <v>Social media</v>
      </c>
      <c r="H1705" s="6" t="s">
        <v>11</v>
      </c>
      <c r="I1705" s="4" t="s">
        <v>10</v>
      </c>
      <c r="J1705" s="4" t="s">
        <v>15</v>
      </c>
      <c r="K1705" s="4" t="s">
        <v>108</v>
      </c>
    </row>
    <row r="1706" spans="1:11" ht="15.75" hidden="1" customHeight="1" x14ac:dyDescent="0.2">
      <c r="B1706" s="4" t="s">
        <v>8</v>
      </c>
      <c r="C1706" s="4" t="s">
        <v>111</v>
      </c>
      <c r="D1706" s="4" t="s">
        <v>24</v>
      </c>
      <c r="E1706" s="4" t="s">
        <v>5</v>
      </c>
      <c r="F1706" s="4" t="s">
        <v>1031</v>
      </c>
      <c r="G1706" s="7" t="s">
        <v>11</v>
      </c>
      <c r="H1706" s="6" t="s">
        <v>11</v>
      </c>
      <c r="I1706" s="4" t="s">
        <v>10</v>
      </c>
      <c r="J1706" s="4" t="s">
        <v>15</v>
      </c>
      <c r="K1706" s="4" t="s">
        <v>0</v>
      </c>
    </row>
    <row r="1707" spans="1:11" ht="15.75" customHeight="1" x14ac:dyDescent="0.2">
      <c r="A1707" s="1">
        <v>106</v>
      </c>
      <c r="B1707" s="4" t="s">
        <v>8</v>
      </c>
      <c r="C1707" s="4" t="s">
        <v>150</v>
      </c>
      <c r="D1707" s="4" t="s">
        <v>150</v>
      </c>
      <c r="E1707" s="4" t="s">
        <v>27</v>
      </c>
      <c r="F1707" s="4" t="s">
        <v>1030</v>
      </c>
      <c r="G1707" s="7" t="s">
        <v>707</v>
      </c>
      <c r="H1707" s="6" t="s">
        <v>3</v>
      </c>
      <c r="I1707" s="4" t="s">
        <v>10</v>
      </c>
      <c r="J1707" s="4" t="s">
        <v>20</v>
      </c>
      <c r="K1707" s="4" t="s">
        <v>0</v>
      </c>
    </row>
    <row r="1708" spans="1:11" ht="15.75" hidden="1" customHeight="1" x14ac:dyDescent="0.2">
      <c r="B1708" s="4" t="s">
        <v>8</v>
      </c>
      <c r="C1708" s="4" t="s">
        <v>104</v>
      </c>
      <c r="D1708" s="4" t="s">
        <v>18</v>
      </c>
      <c r="E1708" s="4" t="s">
        <v>5</v>
      </c>
      <c r="F1708" s="4" t="s">
        <v>1029</v>
      </c>
      <c r="G1708" s="7" t="str">
        <f>HYPERLINK("https://www.facebook.com/amtmindia/posts/1653006458044827","Social media")</f>
        <v>Social media</v>
      </c>
      <c r="H1708" s="6" t="s">
        <v>11</v>
      </c>
      <c r="I1708" s="4" t="s">
        <v>10</v>
      </c>
      <c r="J1708" s="4" t="s">
        <v>15</v>
      </c>
      <c r="K1708" s="4" t="s">
        <v>0</v>
      </c>
    </row>
    <row r="1709" spans="1:11" ht="15.75" customHeight="1" x14ac:dyDescent="0.2">
      <c r="A1709" s="1">
        <v>107</v>
      </c>
      <c r="B1709" s="4" t="s">
        <v>8</v>
      </c>
      <c r="C1709" s="4" t="s">
        <v>130</v>
      </c>
      <c r="D1709" s="4" t="s">
        <v>77</v>
      </c>
      <c r="E1709" s="4" t="s">
        <v>27</v>
      </c>
      <c r="F1709" s="4" t="s">
        <v>1028</v>
      </c>
      <c r="G1709" s="7" t="s">
        <v>3</v>
      </c>
      <c r="H1709" s="6" t="s">
        <v>3</v>
      </c>
      <c r="I1709" s="4" t="s">
        <v>10</v>
      </c>
      <c r="J1709" s="4" t="s">
        <v>20</v>
      </c>
      <c r="K1709" s="4" t="s">
        <v>0</v>
      </c>
    </row>
    <row r="1710" spans="1:11" ht="15.75" customHeight="1" x14ac:dyDescent="0.2">
      <c r="A1710" s="1">
        <v>108</v>
      </c>
      <c r="B1710" s="4" t="s">
        <v>8</v>
      </c>
      <c r="C1710" s="4" t="s">
        <v>507</v>
      </c>
      <c r="D1710" s="4" t="s">
        <v>150</v>
      </c>
      <c r="E1710" s="4" t="s">
        <v>81</v>
      </c>
      <c r="F1710" s="4" t="s">
        <v>1027</v>
      </c>
      <c r="G1710" s="7" t="str">
        <f>HYPERLINK("https://www.indiatoday.in/mail-today/story/delhi-taxi-driver-rapes-female-puppy-animal-cruelty-pervert-1034748-2017-08-31","News")</f>
        <v>News</v>
      </c>
      <c r="H1710" s="6" t="s">
        <v>3</v>
      </c>
      <c r="I1710" s="4" t="s">
        <v>10</v>
      </c>
      <c r="J1710" s="4" t="s">
        <v>82</v>
      </c>
      <c r="K1710" s="4" t="s">
        <v>0</v>
      </c>
    </row>
    <row r="1711" spans="1:11" ht="15.75" hidden="1" customHeight="1" x14ac:dyDescent="0.2">
      <c r="B1711" s="4" t="s">
        <v>8</v>
      </c>
      <c r="C1711" s="4" t="s">
        <v>228</v>
      </c>
      <c r="D1711" s="4" t="s">
        <v>36</v>
      </c>
      <c r="E1711" s="4" t="s">
        <v>159</v>
      </c>
      <c r="F1711" s="4" t="s">
        <v>1026</v>
      </c>
      <c r="G1711" s="4" t="s">
        <v>329</v>
      </c>
      <c r="H1711" s="6" t="s">
        <v>272</v>
      </c>
      <c r="I1711" s="4" t="s">
        <v>2</v>
      </c>
      <c r="J1711" s="4" t="s">
        <v>15</v>
      </c>
      <c r="K1711" s="4" t="s">
        <v>0</v>
      </c>
    </row>
    <row r="1712" spans="1:11" ht="15.75" hidden="1" customHeight="1" x14ac:dyDescent="0.2">
      <c r="B1712" s="4" t="s">
        <v>8</v>
      </c>
      <c r="C1712" s="4" t="s">
        <v>527</v>
      </c>
      <c r="D1712" s="4" t="s">
        <v>18</v>
      </c>
      <c r="E1712" s="4" t="s">
        <v>5</v>
      </c>
      <c r="F1712" s="4" t="s">
        <v>1025</v>
      </c>
      <c r="G1712" s="7" t="s">
        <v>11</v>
      </c>
      <c r="H1712" s="6" t="s">
        <v>11</v>
      </c>
      <c r="I1712" s="4" t="s">
        <v>2</v>
      </c>
      <c r="J1712" s="4" t="s">
        <v>15</v>
      </c>
      <c r="K1712" s="4" t="s">
        <v>0</v>
      </c>
    </row>
    <row r="1713" spans="1:11" ht="15.75" hidden="1" customHeight="1" x14ac:dyDescent="0.2">
      <c r="B1713" s="4" t="s">
        <v>8</v>
      </c>
      <c r="C1713" s="4" t="s">
        <v>804</v>
      </c>
      <c r="D1713" s="4" t="s">
        <v>18</v>
      </c>
      <c r="E1713" s="4" t="s">
        <v>81</v>
      </c>
      <c r="F1713" s="4" t="s">
        <v>1024</v>
      </c>
      <c r="G1713" s="7" t="str">
        <f>HYPERLINK("https://www.youtube.com/watch?v=5TWefdOSjjw&amp;noapp=1&amp;client=mv-google&amp;app=desktop","Youtube")</f>
        <v>Youtube</v>
      </c>
      <c r="H1713" s="6" t="s">
        <v>3</v>
      </c>
      <c r="I1713" s="4" t="s">
        <v>10</v>
      </c>
      <c r="J1713" s="4" t="s">
        <v>82</v>
      </c>
      <c r="K1713" s="4" t="s">
        <v>0</v>
      </c>
    </row>
    <row r="1714" spans="1:11" ht="15.75" customHeight="1" x14ac:dyDescent="0.2">
      <c r="A1714" s="1">
        <v>109</v>
      </c>
      <c r="B1714" s="4" t="s">
        <v>8</v>
      </c>
      <c r="C1714" s="4" t="s">
        <v>104</v>
      </c>
      <c r="D1714" s="4" t="s">
        <v>18</v>
      </c>
      <c r="E1714" s="4" t="s">
        <v>27</v>
      </c>
      <c r="F1714" s="4" t="s">
        <v>1023</v>
      </c>
      <c r="G1714" s="7" t="str">
        <f>HYPERLINK("http://www.dnaindia.com/mumbai/report-Street-dog-critical-after-kalina-youth-thrashes-it-mercilessly-with-iron-rod-2542773","News")</f>
        <v>News</v>
      </c>
      <c r="H1714" s="6" t="s">
        <v>3</v>
      </c>
      <c r="I1714" s="4" t="s">
        <v>10</v>
      </c>
      <c r="J1714" s="4" t="s">
        <v>15</v>
      </c>
      <c r="K1714" s="4" t="s">
        <v>0</v>
      </c>
    </row>
    <row r="1715" spans="1:11" ht="15.75" customHeight="1" x14ac:dyDescent="0.2">
      <c r="A1715" s="1">
        <v>110</v>
      </c>
      <c r="B1715" s="4" t="s">
        <v>8</v>
      </c>
      <c r="C1715" s="4" t="s">
        <v>271</v>
      </c>
      <c r="D1715" s="4" t="s">
        <v>94</v>
      </c>
      <c r="E1715" s="4" t="s">
        <v>23</v>
      </c>
      <c r="F1715" s="4" t="s">
        <v>1022</v>
      </c>
      <c r="G1715" s="7" t="s">
        <v>3</v>
      </c>
      <c r="H1715" s="6" t="s">
        <v>3</v>
      </c>
      <c r="I1715" s="4" t="s">
        <v>10</v>
      </c>
      <c r="J1715" s="4" t="s">
        <v>20</v>
      </c>
      <c r="K1715" s="4" t="s">
        <v>0</v>
      </c>
    </row>
    <row r="1716" spans="1:11" ht="15.75" hidden="1" customHeight="1" x14ac:dyDescent="0.2">
      <c r="B1716" s="4" t="s">
        <v>8</v>
      </c>
      <c r="C1716" s="4" t="s">
        <v>228</v>
      </c>
      <c r="D1716" s="4" t="s">
        <v>36</v>
      </c>
      <c r="E1716" s="4" t="s">
        <v>159</v>
      </c>
      <c r="F1716" s="4" t="s">
        <v>1021</v>
      </c>
      <c r="G1716" s="4" t="s">
        <v>289</v>
      </c>
      <c r="H1716" s="6" t="s">
        <v>272</v>
      </c>
      <c r="I1716" s="4" t="s">
        <v>292</v>
      </c>
      <c r="J1716" s="4" t="s">
        <v>50</v>
      </c>
      <c r="K1716" s="4" t="s">
        <v>280</v>
      </c>
    </row>
    <row r="1717" spans="1:11" ht="15.75" hidden="1" customHeight="1" x14ac:dyDescent="0.2">
      <c r="B1717" s="4" t="s">
        <v>8</v>
      </c>
      <c r="C1717" s="4" t="s">
        <v>527</v>
      </c>
      <c r="D1717" s="4" t="s">
        <v>18</v>
      </c>
      <c r="E1717" s="4" t="s">
        <v>5</v>
      </c>
      <c r="F1717" s="4" t="s">
        <v>1020</v>
      </c>
      <c r="G1717" s="7" t="s">
        <v>11</v>
      </c>
      <c r="H1717" s="6" t="s">
        <v>11</v>
      </c>
      <c r="I1717" s="4" t="s">
        <v>10</v>
      </c>
      <c r="J1717" s="4" t="s">
        <v>15</v>
      </c>
      <c r="K1717" s="4" t="s">
        <v>0</v>
      </c>
    </row>
    <row r="1718" spans="1:11" ht="15.75" customHeight="1" x14ac:dyDescent="0.2">
      <c r="A1718" s="1">
        <v>111</v>
      </c>
      <c r="B1718" s="4" t="s">
        <v>8</v>
      </c>
      <c r="C1718" s="4" t="s">
        <v>233</v>
      </c>
      <c r="D1718" s="4" t="s">
        <v>232</v>
      </c>
      <c r="E1718" s="4" t="s">
        <v>5</v>
      </c>
      <c r="F1718" s="4" t="s">
        <v>1019</v>
      </c>
      <c r="G1718" s="7" t="s">
        <v>3</v>
      </c>
      <c r="H1718" s="6" t="s">
        <v>3</v>
      </c>
      <c r="I1718" s="4" t="s">
        <v>144</v>
      </c>
      <c r="J1718" s="4" t="s">
        <v>1018</v>
      </c>
      <c r="K1718" s="4" t="s">
        <v>57</v>
      </c>
    </row>
    <row r="1719" spans="1:11" ht="15.75" customHeight="1" x14ac:dyDescent="0.2">
      <c r="A1719" s="1">
        <v>112</v>
      </c>
      <c r="B1719" s="4" t="s">
        <v>8</v>
      </c>
      <c r="C1719" s="4" t="s">
        <v>150</v>
      </c>
      <c r="D1719" s="4" t="s">
        <v>150</v>
      </c>
      <c r="E1719" s="4" t="s">
        <v>27</v>
      </c>
      <c r="F1719" s="4" t="s">
        <v>1017</v>
      </c>
      <c r="G1719" s="7" t="s">
        <v>3</v>
      </c>
      <c r="H1719" s="6" t="s">
        <v>3</v>
      </c>
      <c r="I1719" s="4" t="s">
        <v>109</v>
      </c>
      <c r="J1719" s="4" t="s">
        <v>20</v>
      </c>
      <c r="K1719" s="4" t="s">
        <v>57</v>
      </c>
    </row>
    <row r="1720" spans="1:11" ht="15.75" hidden="1" customHeight="1" x14ac:dyDescent="0.2">
      <c r="B1720" s="4" t="s">
        <v>8</v>
      </c>
      <c r="C1720" s="4" t="s">
        <v>130</v>
      </c>
      <c r="D1720" s="4" t="s">
        <v>77</v>
      </c>
      <c r="E1720" s="4" t="s">
        <v>23</v>
      </c>
      <c r="F1720" s="4" t="s">
        <v>1016</v>
      </c>
      <c r="G1720" s="7" t="s">
        <v>11</v>
      </c>
      <c r="H1720" s="6" t="s">
        <v>11</v>
      </c>
      <c r="I1720" s="4" t="s">
        <v>10</v>
      </c>
      <c r="J1720" s="4" t="s">
        <v>471</v>
      </c>
      <c r="K1720" s="4" t="s">
        <v>0</v>
      </c>
    </row>
    <row r="1721" spans="1:11" ht="15.75" hidden="1" customHeight="1" x14ac:dyDescent="0.2">
      <c r="B1721" s="4" t="s">
        <v>8</v>
      </c>
      <c r="C1721" s="4" t="s">
        <v>271</v>
      </c>
      <c r="D1721" s="4" t="s">
        <v>94</v>
      </c>
      <c r="E1721" s="4" t="s">
        <v>159</v>
      </c>
      <c r="F1721" s="4" t="s">
        <v>1015</v>
      </c>
      <c r="G1721" s="7" t="s">
        <v>11</v>
      </c>
      <c r="H1721" s="6" t="s">
        <v>11</v>
      </c>
      <c r="I1721" s="4" t="s">
        <v>10</v>
      </c>
      <c r="J1721" s="4" t="s">
        <v>15</v>
      </c>
      <c r="K1721" s="4" t="s">
        <v>0</v>
      </c>
    </row>
    <row r="1722" spans="1:11" ht="15.75" hidden="1" customHeight="1" x14ac:dyDescent="0.2">
      <c r="B1722" s="4" t="s">
        <v>8</v>
      </c>
      <c r="C1722" s="4" t="s">
        <v>228</v>
      </c>
      <c r="D1722" s="4" t="s">
        <v>36</v>
      </c>
      <c r="E1722" s="4" t="s">
        <v>159</v>
      </c>
      <c r="F1722" s="4" t="s">
        <v>1014</v>
      </c>
      <c r="G1722" s="4" t="s">
        <v>289</v>
      </c>
      <c r="H1722" s="6" t="s">
        <v>272</v>
      </c>
      <c r="I1722" s="4" t="s">
        <v>281</v>
      </c>
      <c r="J1722" s="4" t="s">
        <v>50</v>
      </c>
      <c r="K1722" s="4" t="s">
        <v>280</v>
      </c>
    </row>
    <row r="1723" spans="1:11" ht="15.75" hidden="1" customHeight="1" x14ac:dyDescent="0.2">
      <c r="B1723" s="4" t="s">
        <v>8</v>
      </c>
      <c r="C1723" s="4" t="s">
        <v>139</v>
      </c>
      <c r="D1723" s="4" t="s">
        <v>18</v>
      </c>
      <c r="E1723" s="4" t="s">
        <v>159</v>
      </c>
      <c r="F1723" s="4" t="s">
        <v>1013</v>
      </c>
      <c r="G1723" s="7" t="str">
        <f>HYPERLINK("https://www.facebook.com/watch/?v=10155605450971101","Social media")</f>
        <v>Social media</v>
      </c>
      <c r="H1723" s="6" t="s">
        <v>11</v>
      </c>
      <c r="I1723" s="4" t="s">
        <v>10</v>
      </c>
      <c r="J1723" s="4" t="s">
        <v>15</v>
      </c>
      <c r="K1723" s="4" t="s">
        <v>0</v>
      </c>
    </row>
    <row r="1724" spans="1:11" ht="15.75" hidden="1" customHeight="1" x14ac:dyDescent="0.2">
      <c r="B1724" s="4" t="s">
        <v>8</v>
      </c>
      <c r="C1724" s="4"/>
      <c r="D1724" s="4" t="s">
        <v>236</v>
      </c>
      <c r="E1724" s="4" t="s">
        <v>159</v>
      </c>
      <c r="F1724" s="4" t="s">
        <v>1012</v>
      </c>
      <c r="G1724" s="7" t="str">
        <f>HYPERLINK("https://www.facebook.com/groups/goapetlife/permalink/1165696433530317/","Social media")</f>
        <v>Social media</v>
      </c>
      <c r="H1724" s="6" t="s">
        <v>11</v>
      </c>
      <c r="I1724" s="4" t="s">
        <v>10</v>
      </c>
      <c r="J1724" s="4" t="s">
        <v>15</v>
      </c>
      <c r="K1724" s="4" t="s">
        <v>0</v>
      </c>
    </row>
    <row r="1725" spans="1:11" ht="15.75" customHeight="1" x14ac:dyDescent="0.2">
      <c r="A1725" s="1">
        <v>113</v>
      </c>
      <c r="B1725" s="4" t="s">
        <v>8</v>
      </c>
      <c r="C1725" s="4" t="s">
        <v>130</v>
      </c>
      <c r="D1725" s="4" t="s">
        <v>77</v>
      </c>
      <c r="E1725" s="4" t="s">
        <v>23</v>
      </c>
      <c r="F1725" s="4" t="s">
        <v>1011</v>
      </c>
      <c r="G1725" s="7" t="str">
        <f>HYPERLINK("https://www.thequint.com/news/india/2100-kg-of-suspected-dog-meat-seized-in-chennai","News")</f>
        <v>News</v>
      </c>
      <c r="H1725" s="6" t="s">
        <v>3</v>
      </c>
      <c r="I1725" s="4" t="s">
        <v>2</v>
      </c>
      <c r="J1725" s="4" t="s">
        <v>1</v>
      </c>
      <c r="K1725" s="4" t="s">
        <v>0</v>
      </c>
    </row>
    <row r="1726" spans="1:11" ht="15.75" hidden="1" customHeight="1" x14ac:dyDescent="0.2">
      <c r="B1726" s="4" t="s">
        <v>8</v>
      </c>
      <c r="C1726" s="4" t="s">
        <v>999</v>
      </c>
      <c r="D1726" s="4" t="s">
        <v>77</v>
      </c>
      <c r="E1726" s="4" t="s">
        <v>23</v>
      </c>
      <c r="F1726" s="4" t="s">
        <v>1010</v>
      </c>
      <c r="G1726" s="7" t="str">
        <f>HYPERLINK("https://www.facebook.com/almightyanimalcaretrust/posts/901867553298141","Social media")</f>
        <v>Social media</v>
      </c>
      <c r="H1726" s="6" t="s">
        <v>11</v>
      </c>
      <c r="I1726" s="4" t="s">
        <v>10</v>
      </c>
      <c r="J1726" s="4" t="s">
        <v>20</v>
      </c>
      <c r="K1726" s="4" t="s">
        <v>0</v>
      </c>
    </row>
    <row r="1727" spans="1:11" ht="15.75" hidden="1" customHeight="1" x14ac:dyDescent="0.2">
      <c r="B1727" s="4" t="s">
        <v>8</v>
      </c>
      <c r="C1727" s="4" t="s">
        <v>804</v>
      </c>
      <c r="D1727" s="4" t="s">
        <v>18</v>
      </c>
      <c r="E1727" s="4" t="s">
        <v>81</v>
      </c>
      <c r="F1727" s="4" t="s">
        <v>1009</v>
      </c>
      <c r="G1727" s="7" t="str">
        <f>HYPERLINK("https://www.youtube.com/watch?v=5TWefdOSjjw&amp;noapp=1&amp;client=mv-google&amp;app=desktop","Youtube")</f>
        <v>Youtube</v>
      </c>
      <c r="H1727" s="6" t="s">
        <v>3</v>
      </c>
      <c r="I1727" s="4" t="s">
        <v>10</v>
      </c>
      <c r="J1727" s="4" t="s">
        <v>82</v>
      </c>
      <c r="K1727" s="4" t="s">
        <v>0</v>
      </c>
    </row>
    <row r="1728" spans="1:11" ht="15.75" hidden="1" customHeight="1" x14ac:dyDescent="0.2">
      <c r="B1728" s="4" t="s">
        <v>8</v>
      </c>
      <c r="C1728" s="4" t="s">
        <v>130</v>
      </c>
      <c r="D1728" s="4" t="s">
        <v>77</v>
      </c>
      <c r="E1728" s="4" t="s">
        <v>5</v>
      </c>
      <c r="F1728" s="4" t="s">
        <v>1007</v>
      </c>
      <c r="G1728" s="7" t="s">
        <v>11</v>
      </c>
      <c r="H1728" s="6" t="s">
        <v>11</v>
      </c>
      <c r="I1728" s="4" t="s">
        <v>2</v>
      </c>
      <c r="J1728" s="4" t="s">
        <v>20</v>
      </c>
      <c r="K1728" s="4" t="s">
        <v>0</v>
      </c>
    </row>
    <row r="1729" spans="1:11" ht="15.75" hidden="1" customHeight="1" x14ac:dyDescent="0.2">
      <c r="B1729" s="4" t="s">
        <v>8</v>
      </c>
      <c r="C1729" s="4" t="s">
        <v>228</v>
      </c>
      <c r="D1729" s="4" t="s">
        <v>36</v>
      </c>
      <c r="E1729" s="4" t="s">
        <v>159</v>
      </c>
      <c r="F1729" s="4" t="s">
        <v>1006</v>
      </c>
      <c r="G1729" s="4" t="s">
        <v>289</v>
      </c>
      <c r="H1729" s="6" t="s">
        <v>272</v>
      </c>
      <c r="I1729" s="4" t="s">
        <v>292</v>
      </c>
      <c r="J1729" s="4" t="s">
        <v>618</v>
      </c>
      <c r="K1729" s="4" t="s">
        <v>280</v>
      </c>
    </row>
    <row r="1730" spans="1:11" ht="15.75" hidden="1" customHeight="1" x14ac:dyDescent="0.2">
      <c r="B1730" s="4" t="s">
        <v>8</v>
      </c>
      <c r="C1730" s="4" t="s">
        <v>228</v>
      </c>
      <c r="D1730" s="4" t="s">
        <v>36</v>
      </c>
      <c r="E1730" s="4" t="s">
        <v>159</v>
      </c>
      <c r="F1730" s="4" t="s">
        <v>1005</v>
      </c>
      <c r="G1730" s="4" t="s">
        <v>289</v>
      </c>
      <c r="H1730" s="6" t="s">
        <v>272</v>
      </c>
      <c r="I1730" s="4" t="s">
        <v>292</v>
      </c>
      <c r="J1730" s="4" t="s">
        <v>50</v>
      </c>
      <c r="K1730" s="4" t="s">
        <v>280</v>
      </c>
    </row>
    <row r="1731" spans="1:11" ht="15.75" hidden="1" customHeight="1" x14ac:dyDescent="0.2">
      <c r="B1731" s="4" t="s">
        <v>8</v>
      </c>
      <c r="C1731" s="4" t="s">
        <v>104</v>
      </c>
      <c r="D1731" s="4" t="s">
        <v>18</v>
      </c>
      <c r="E1731" s="4" t="s">
        <v>23</v>
      </c>
      <c r="F1731" s="4" t="s">
        <v>1004</v>
      </c>
      <c r="G1731" s="7" t="s">
        <v>11</v>
      </c>
      <c r="H1731" s="6" t="s">
        <v>11</v>
      </c>
      <c r="I1731" s="4" t="s">
        <v>10</v>
      </c>
      <c r="J1731" s="4" t="s">
        <v>20</v>
      </c>
      <c r="K1731" s="4" t="s">
        <v>0</v>
      </c>
    </row>
    <row r="1732" spans="1:11" ht="15.75" hidden="1" customHeight="1" x14ac:dyDescent="0.2">
      <c r="B1732" s="4" t="s">
        <v>8</v>
      </c>
      <c r="C1732" s="4" t="s">
        <v>676</v>
      </c>
      <c r="D1732" s="4" t="s">
        <v>28</v>
      </c>
      <c r="E1732" s="4" t="s">
        <v>23</v>
      </c>
      <c r="F1732" s="4" t="s">
        <v>1003</v>
      </c>
      <c r="G1732" s="7" t="s">
        <v>11</v>
      </c>
      <c r="H1732" s="6" t="s">
        <v>11</v>
      </c>
      <c r="I1732" s="4" t="s">
        <v>281</v>
      </c>
      <c r="J1732" s="4" t="s">
        <v>20</v>
      </c>
      <c r="K1732" s="4" t="s">
        <v>518</v>
      </c>
    </row>
    <row r="1733" spans="1:11" ht="15.75" hidden="1" customHeight="1" x14ac:dyDescent="0.2">
      <c r="B1733" s="4" t="s">
        <v>8</v>
      </c>
      <c r="C1733" s="4" t="s">
        <v>228</v>
      </c>
      <c r="D1733" s="4" t="s">
        <v>36</v>
      </c>
      <c r="E1733" s="4" t="s">
        <v>159</v>
      </c>
      <c r="F1733" s="4" t="s">
        <v>1002</v>
      </c>
      <c r="G1733" s="4" t="s">
        <v>944</v>
      </c>
      <c r="H1733" s="6" t="s">
        <v>272</v>
      </c>
      <c r="I1733" s="4" t="s">
        <v>2</v>
      </c>
      <c r="J1733" s="4" t="s">
        <v>15</v>
      </c>
      <c r="K1733" s="4" t="s">
        <v>0</v>
      </c>
    </row>
    <row r="1734" spans="1:11" ht="15.75" hidden="1" customHeight="1" x14ac:dyDescent="0.2">
      <c r="B1734" s="4" t="s">
        <v>8</v>
      </c>
      <c r="C1734" s="4" t="s">
        <v>1001</v>
      </c>
      <c r="D1734" s="4" t="s">
        <v>77</v>
      </c>
      <c r="E1734" s="4" t="s">
        <v>23</v>
      </c>
      <c r="F1734" s="4" t="s">
        <v>1000</v>
      </c>
      <c r="G1734" s="7" t="str">
        <f>HYPERLINK("https://www.facebook.com/groups/has.cbe/permalink/10155872583682421/","Social media")</f>
        <v>Social media</v>
      </c>
      <c r="H1734" s="6" t="s">
        <v>11</v>
      </c>
      <c r="I1734" s="4" t="s">
        <v>10</v>
      </c>
      <c r="J1734" s="4" t="s">
        <v>20</v>
      </c>
      <c r="K1734" s="4" t="s">
        <v>0</v>
      </c>
    </row>
    <row r="1735" spans="1:11" ht="15.75" customHeight="1" x14ac:dyDescent="0.2">
      <c r="A1735" s="1">
        <v>114</v>
      </c>
      <c r="B1735" s="4" t="s">
        <v>8</v>
      </c>
      <c r="C1735" s="4" t="s">
        <v>999</v>
      </c>
      <c r="D1735" s="4" t="s">
        <v>77</v>
      </c>
      <c r="E1735" s="4" t="s">
        <v>23</v>
      </c>
      <c r="F1735" s="4" t="s">
        <v>998</v>
      </c>
      <c r="G1735" s="7" t="str">
        <f>HYPERLINK("http://www.india.com/news/india/tamil-nadu-engineering-student-kills-puppy-by-throwing-it-off-terrace-says-it-peed-on-my-clothes-2595520","News")</f>
        <v>News</v>
      </c>
      <c r="H1735" s="6" t="s">
        <v>3</v>
      </c>
      <c r="I1735" s="4" t="s">
        <v>10</v>
      </c>
      <c r="J1735" s="4" t="s">
        <v>20</v>
      </c>
      <c r="K1735" s="4" t="s">
        <v>0</v>
      </c>
    </row>
    <row r="1736" spans="1:11" ht="15.75" customHeight="1" x14ac:dyDescent="0.2">
      <c r="A1736" s="1">
        <v>115</v>
      </c>
      <c r="B1736" s="4" t="s">
        <v>8</v>
      </c>
      <c r="C1736" s="4" t="s">
        <v>997</v>
      </c>
      <c r="D1736" s="4" t="s">
        <v>154</v>
      </c>
      <c r="E1736" s="4" t="s">
        <v>5</v>
      </c>
      <c r="F1736" s="4" t="s">
        <v>996</v>
      </c>
      <c r="G1736" s="7" t="s">
        <v>3</v>
      </c>
      <c r="H1736" s="6" t="s">
        <v>3</v>
      </c>
      <c r="I1736" s="4" t="s">
        <v>10</v>
      </c>
      <c r="J1736" s="4" t="s">
        <v>15</v>
      </c>
      <c r="K1736" s="4" t="s">
        <v>57</v>
      </c>
    </row>
    <row r="1737" spans="1:11" ht="15.75" hidden="1" customHeight="1" x14ac:dyDescent="0.2">
      <c r="B1737" s="4" t="s">
        <v>8</v>
      </c>
      <c r="C1737" s="4" t="s">
        <v>228</v>
      </c>
      <c r="D1737" s="4" t="s">
        <v>36</v>
      </c>
      <c r="E1737" s="4" t="s">
        <v>5</v>
      </c>
      <c r="F1737" s="4" t="s">
        <v>995</v>
      </c>
      <c r="G1737" s="4" t="s">
        <v>329</v>
      </c>
      <c r="H1737" s="6" t="s">
        <v>272</v>
      </c>
      <c r="I1737" s="4" t="s">
        <v>10</v>
      </c>
      <c r="J1737" s="4" t="s">
        <v>15</v>
      </c>
      <c r="K1737" s="4" t="s">
        <v>0</v>
      </c>
    </row>
    <row r="1738" spans="1:11" ht="15.75" hidden="1" customHeight="1" x14ac:dyDescent="0.2">
      <c r="B1738" s="4" t="s">
        <v>8</v>
      </c>
      <c r="C1738" s="4" t="s">
        <v>89</v>
      </c>
      <c r="D1738" s="4" t="s">
        <v>88</v>
      </c>
      <c r="E1738" s="4" t="s">
        <v>5</v>
      </c>
      <c r="F1738" s="4" t="s">
        <v>994</v>
      </c>
      <c r="G1738" s="7" t="s">
        <v>11</v>
      </c>
      <c r="H1738" s="6" t="s">
        <v>11</v>
      </c>
      <c r="I1738" s="4" t="s">
        <v>10</v>
      </c>
      <c r="J1738" s="4" t="s">
        <v>15</v>
      </c>
      <c r="K1738" s="4" t="s">
        <v>0</v>
      </c>
    </row>
    <row r="1739" spans="1:11" ht="15.75" hidden="1" customHeight="1" x14ac:dyDescent="0.2">
      <c r="B1739" s="4" t="s">
        <v>8</v>
      </c>
      <c r="C1739" s="4" t="s">
        <v>89</v>
      </c>
      <c r="D1739" s="4" t="s">
        <v>88</v>
      </c>
      <c r="E1739" s="4" t="s">
        <v>5</v>
      </c>
      <c r="F1739" s="4" t="s">
        <v>993</v>
      </c>
      <c r="G1739" s="7" t="s">
        <v>11</v>
      </c>
      <c r="H1739" s="6" t="s">
        <v>11</v>
      </c>
      <c r="I1739" s="4" t="s">
        <v>10</v>
      </c>
      <c r="J1739" s="4" t="s">
        <v>15</v>
      </c>
      <c r="K1739" s="4" t="s">
        <v>0</v>
      </c>
    </row>
    <row r="1740" spans="1:11" ht="15.75" hidden="1" customHeight="1" x14ac:dyDescent="0.2">
      <c r="B1740" s="4" t="s">
        <v>8</v>
      </c>
      <c r="C1740" s="4" t="s">
        <v>228</v>
      </c>
      <c r="D1740" s="4" t="s">
        <v>36</v>
      </c>
      <c r="E1740" s="4" t="s">
        <v>159</v>
      </c>
      <c r="F1740" s="4" t="s">
        <v>992</v>
      </c>
      <c r="G1740" s="4" t="s">
        <v>289</v>
      </c>
      <c r="H1740" s="6" t="s">
        <v>272</v>
      </c>
      <c r="I1740" s="4" t="s">
        <v>281</v>
      </c>
      <c r="J1740" s="4" t="s">
        <v>50</v>
      </c>
      <c r="K1740" s="4" t="s">
        <v>280</v>
      </c>
    </row>
    <row r="1741" spans="1:11" ht="15.75" hidden="1" customHeight="1" x14ac:dyDescent="0.2">
      <c r="B1741" s="4" t="s">
        <v>8</v>
      </c>
      <c r="C1741" s="4"/>
      <c r="D1741" s="4" t="s">
        <v>236</v>
      </c>
      <c r="E1741" s="4" t="s">
        <v>5</v>
      </c>
      <c r="F1741" s="4" t="s">
        <v>991</v>
      </c>
      <c r="G1741" s="7" t="str">
        <f>HYPERLINK("https://www.facebook.com/wag.india/posts/829239097259147","Social media")</f>
        <v>Social media</v>
      </c>
      <c r="H1741" s="6" t="s">
        <v>11</v>
      </c>
      <c r="I1741" s="4" t="s">
        <v>10</v>
      </c>
      <c r="J1741" s="4" t="s">
        <v>15</v>
      </c>
      <c r="K1741" s="4" t="s">
        <v>0</v>
      </c>
    </row>
    <row r="1742" spans="1:11" ht="15.75" hidden="1" customHeight="1" x14ac:dyDescent="0.2">
      <c r="B1742" s="4" t="s">
        <v>8</v>
      </c>
      <c r="C1742" s="4" t="s">
        <v>783</v>
      </c>
      <c r="D1742" s="4" t="s">
        <v>66</v>
      </c>
      <c r="E1742" s="4" t="s">
        <v>5</v>
      </c>
      <c r="F1742" s="4" t="s">
        <v>990</v>
      </c>
      <c r="G1742" s="7" t="str">
        <f>HYPERLINK("https://www.facebook.com/PFATrivandrum/posts/1478524315566539","Social media")</f>
        <v>Social media</v>
      </c>
      <c r="H1742" s="6" t="s">
        <v>11</v>
      </c>
      <c r="I1742" s="4" t="s">
        <v>2</v>
      </c>
      <c r="J1742" s="4" t="s">
        <v>15</v>
      </c>
      <c r="K1742" s="4" t="s">
        <v>0</v>
      </c>
    </row>
    <row r="1743" spans="1:11" ht="15.75" hidden="1" customHeight="1" x14ac:dyDescent="0.2">
      <c r="B1743" s="4" t="s">
        <v>8</v>
      </c>
      <c r="C1743" s="4" t="s">
        <v>183</v>
      </c>
      <c r="D1743" s="4" t="s">
        <v>150</v>
      </c>
      <c r="E1743" s="4" t="s">
        <v>5</v>
      </c>
      <c r="F1743" s="4" t="s">
        <v>989</v>
      </c>
      <c r="G1743" s="7" t="s">
        <v>11</v>
      </c>
      <c r="H1743" s="6" t="s">
        <v>11</v>
      </c>
      <c r="I1743" s="4" t="s">
        <v>10</v>
      </c>
      <c r="J1743" s="4" t="s">
        <v>15</v>
      </c>
      <c r="K1743" s="4" t="s">
        <v>0</v>
      </c>
    </row>
    <row r="1744" spans="1:11" ht="15.75" hidden="1" customHeight="1" x14ac:dyDescent="0.2">
      <c r="B1744" s="4" t="s">
        <v>8</v>
      </c>
      <c r="C1744" s="4" t="s">
        <v>834</v>
      </c>
      <c r="D1744" s="4" t="s">
        <v>232</v>
      </c>
      <c r="E1744" s="4" t="s">
        <v>5</v>
      </c>
      <c r="F1744" s="4" t="s">
        <v>988</v>
      </c>
      <c r="G1744" s="7" t="s">
        <v>11</v>
      </c>
      <c r="H1744" s="6" t="s">
        <v>11</v>
      </c>
      <c r="I1744" s="4" t="s">
        <v>10</v>
      </c>
      <c r="J1744" s="4" t="s">
        <v>20</v>
      </c>
      <c r="K1744" s="4" t="s">
        <v>0</v>
      </c>
    </row>
    <row r="1745" spans="1:11" ht="15.75" customHeight="1" x14ac:dyDescent="0.2">
      <c r="A1745" s="1">
        <v>116</v>
      </c>
      <c r="B1745" s="4" t="s">
        <v>8</v>
      </c>
      <c r="C1745" s="4" t="s">
        <v>222</v>
      </c>
      <c r="D1745" s="4" t="s">
        <v>62</v>
      </c>
      <c r="E1745" s="4" t="s">
        <v>23</v>
      </c>
      <c r="F1745" s="4" t="s">
        <v>987</v>
      </c>
      <c r="G1745" s="7" t="s">
        <v>3</v>
      </c>
      <c r="H1745" s="6" t="s">
        <v>3</v>
      </c>
      <c r="I1745" s="4" t="s">
        <v>86</v>
      </c>
      <c r="J1745" s="4" t="s">
        <v>20</v>
      </c>
      <c r="K1745" s="4" t="s">
        <v>45</v>
      </c>
    </row>
    <row r="1746" spans="1:11" ht="15.75" customHeight="1" x14ac:dyDescent="0.2">
      <c r="A1746" s="1">
        <v>117</v>
      </c>
      <c r="B1746" s="4" t="s">
        <v>8</v>
      </c>
      <c r="C1746" s="4" t="s">
        <v>986</v>
      </c>
      <c r="D1746" s="4" t="s">
        <v>47</v>
      </c>
      <c r="E1746" s="4" t="s">
        <v>5</v>
      </c>
      <c r="F1746" s="4" t="s">
        <v>985</v>
      </c>
      <c r="G1746" s="7" t="str">
        <f>HYPERLINK("http://www.xinhuanet.com//english/2017-12/02/c_136794070.htm","News")</f>
        <v>News</v>
      </c>
      <c r="H1746" s="6" t="s">
        <v>3</v>
      </c>
      <c r="I1746" s="4" t="s">
        <v>86</v>
      </c>
      <c r="J1746" s="4" t="s">
        <v>20</v>
      </c>
      <c r="K1746" s="4" t="s">
        <v>45</v>
      </c>
    </row>
    <row r="1747" spans="1:11" ht="15.75" hidden="1" customHeight="1" x14ac:dyDescent="0.2">
      <c r="B1747" s="4" t="s">
        <v>8</v>
      </c>
      <c r="C1747" s="4" t="s">
        <v>150</v>
      </c>
      <c r="D1747" s="4" t="s">
        <v>150</v>
      </c>
      <c r="E1747" s="4" t="s">
        <v>5</v>
      </c>
      <c r="F1747" s="4" t="s">
        <v>984</v>
      </c>
      <c r="G1747" s="7" t="s">
        <v>11</v>
      </c>
      <c r="H1747" s="6" t="s">
        <v>11</v>
      </c>
      <c r="I1747" s="4" t="s">
        <v>10</v>
      </c>
      <c r="J1747" s="4" t="s">
        <v>15</v>
      </c>
      <c r="K1747" s="4" t="s">
        <v>0</v>
      </c>
    </row>
    <row r="1748" spans="1:11" ht="15.75" hidden="1" customHeight="1" x14ac:dyDescent="0.2">
      <c r="B1748" s="4" t="s">
        <v>8</v>
      </c>
      <c r="C1748" s="4" t="s">
        <v>104</v>
      </c>
      <c r="D1748" s="4" t="s">
        <v>18</v>
      </c>
      <c r="E1748" s="4" t="s">
        <v>5</v>
      </c>
      <c r="F1748" s="4" t="s">
        <v>983</v>
      </c>
      <c r="G1748" s="7" t="str">
        <f>HYPERLINK("https://www.facebook.com/mypalclub/posts/1421231734642883","Social Media")</f>
        <v>Social Media</v>
      </c>
      <c r="H1748" s="6" t="s">
        <v>11</v>
      </c>
      <c r="I1748" s="4" t="s">
        <v>10</v>
      </c>
      <c r="J1748" s="4" t="s">
        <v>15</v>
      </c>
      <c r="K1748" s="4" t="s">
        <v>75</v>
      </c>
    </row>
    <row r="1749" spans="1:11" ht="15.75" customHeight="1" x14ac:dyDescent="0.2">
      <c r="A1749" s="1">
        <v>118</v>
      </c>
      <c r="B1749" s="4" t="s">
        <v>8</v>
      </c>
      <c r="C1749" s="4" t="s">
        <v>982</v>
      </c>
      <c r="D1749" s="4" t="s">
        <v>154</v>
      </c>
      <c r="E1749" s="4" t="s">
        <v>27</v>
      </c>
      <c r="F1749" s="4" t="s">
        <v>981</v>
      </c>
      <c r="G1749" s="7" t="s">
        <v>3</v>
      </c>
      <c r="H1749" s="6" t="s">
        <v>3</v>
      </c>
      <c r="I1749" s="4" t="s">
        <v>2</v>
      </c>
      <c r="J1749" s="4" t="s">
        <v>20</v>
      </c>
      <c r="K1749" s="4" t="s">
        <v>0</v>
      </c>
    </row>
    <row r="1750" spans="1:11" ht="15.75" hidden="1" customHeight="1" x14ac:dyDescent="0.2">
      <c r="B1750" s="4" t="s">
        <v>8</v>
      </c>
      <c r="C1750" s="4" t="s">
        <v>228</v>
      </c>
      <c r="D1750" s="4" t="s">
        <v>36</v>
      </c>
      <c r="E1750" s="4" t="s">
        <v>159</v>
      </c>
      <c r="F1750" s="4" t="s">
        <v>980</v>
      </c>
      <c r="G1750" s="4" t="s">
        <v>289</v>
      </c>
      <c r="H1750" s="6" t="s">
        <v>272</v>
      </c>
      <c r="I1750" s="4" t="s">
        <v>292</v>
      </c>
      <c r="J1750" s="4" t="s">
        <v>50</v>
      </c>
      <c r="K1750" s="4" t="s">
        <v>280</v>
      </c>
    </row>
    <row r="1751" spans="1:11" ht="15.75" hidden="1" customHeight="1" x14ac:dyDescent="0.2">
      <c r="B1751" s="4" t="s">
        <v>8</v>
      </c>
      <c r="C1751" s="4"/>
      <c r="D1751" s="4" t="s">
        <v>236</v>
      </c>
      <c r="E1751" s="4" t="s">
        <v>159</v>
      </c>
      <c r="F1751" s="4" t="s">
        <v>979</v>
      </c>
      <c r="G1751" s="7" t="str">
        <f>HYPERLINK("https://www.facebook.com/wag.india/posts/839168782932845","Social media")</f>
        <v>Social media</v>
      </c>
      <c r="H1751" s="6" t="s">
        <v>11</v>
      </c>
      <c r="I1751" s="4" t="s">
        <v>10</v>
      </c>
      <c r="J1751" s="4" t="s">
        <v>15</v>
      </c>
      <c r="K1751" s="4" t="s">
        <v>34</v>
      </c>
    </row>
    <row r="1752" spans="1:11" ht="15.75" customHeight="1" x14ac:dyDescent="0.2">
      <c r="A1752" s="1">
        <v>119</v>
      </c>
      <c r="B1752" s="4" t="s">
        <v>8</v>
      </c>
      <c r="C1752" s="4" t="s">
        <v>978</v>
      </c>
      <c r="D1752" s="4" t="s">
        <v>18</v>
      </c>
      <c r="E1752" s="4" t="s">
        <v>23</v>
      </c>
      <c r="F1752" s="4" t="s">
        <v>977</v>
      </c>
      <c r="G1752" s="7" t="str">
        <f>HYPERLINK("https://www.indiatoday.in/india/story/langur-tied-to-tree-beaten-to-death-maharashtra-washim-area-1110244-2017-12-17","News")</f>
        <v>News</v>
      </c>
      <c r="H1752" s="6" t="s">
        <v>3</v>
      </c>
      <c r="I1752" s="4" t="s">
        <v>86</v>
      </c>
      <c r="J1752" s="4" t="s">
        <v>20</v>
      </c>
      <c r="K1752" s="4" t="s">
        <v>955</v>
      </c>
    </row>
    <row r="1753" spans="1:11" ht="15.75" hidden="1" customHeight="1" x14ac:dyDescent="0.2">
      <c r="B1753" s="4" t="s">
        <v>8</v>
      </c>
      <c r="C1753" s="4" t="s">
        <v>976</v>
      </c>
      <c r="D1753" s="4" t="s">
        <v>77</v>
      </c>
      <c r="E1753" s="4" t="s">
        <v>23</v>
      </c>
      <c r="F1753" s="4" t="s">
        <v>975</v>
      </c>
      <c r="G1753" s="7" t="str">
        <f>HYPERLINK("https://www.facebook.com/FaunaPolice/posts/2088348434532627","Social media")</f>
        <v>Social media</v>
      </c>
      <c r="H1753" s="6" t="s">
        <v>11</v>
      </c>
      <c r="I1753" s="4" t="s">
        <v>281</v>
      </c>
      <c r="J1753" s="4" t="s">
        <v>20</v>
      </c>
      <c r="K1753" s="4" t="s">
        <v>974</v>
      </c>
    </row>
    <row r="1754" spans="1:11" ht="15.75" customHeight="1" x14ac:dyDescent="0.2">
      <c r="A1754" s="1">
        <v>120</v>
      </c>
      <c r="B1754" s="4" t="s">
        <v>8</v>
      </c>
      <c r="C1754" s="4" t="s">
        <v>98</v>
      </c>
      <c r="D1754" s="4" t="s">
        <v>97</v>
      </c>
      <c r="E1754" s="4" t="s">
        <v>5</v>
      </c>
      <c r="F1754" s="4" t="s">
        <v>973</v>
      </c>
      <c r="G1754" s="7" t="s">
        <v>3</v>
      </c>
      <c r="H1754" s="6" t="s">
        <v>3</v>
      </c>
      <c r="I1754" s="4" t="s">
        <v>2</v>
      </c>
      <c r="J1754" s="4" t="s">
        <v>15</v>
      </c>
      <c r="K1754" s="4" t="s">
        <v>0</v>
      </c>
    </row>
    <row r="1755" spans="1:11" ht="15.75" hidden="1" customHeight="1" x14ac:dyDescent="0.2">
      <c r="B1755" s="4" t="s">
        <v>8</v>
      </c>
      <c r="C1755" s="4" t="s">
        <v>271</v>
      </c>
      <c r="D1755" s="4" t="s">
        <v>94</v>
      </c>
      <c r="E1755" s="4" t="s">
        <v>5</v>
      </c>
      <c r="F1755" s="4" t="s">
        <v>972</v>
      </c>
      <c r="G1755" s="7" t="s">
        <v>11</v>
      </c>
      <c r="H1755" s="6" t="s">
        <v>11</v>
      </c>
      <c r="I1755" s="4" t="s">
        <v>2</v>
      </c>
      <c r="J1755" s="4" t="s">
        <v>15</v>
      </c>
      <c r="K1755" s="4" t="s">
        <v>0</v>
      </c>
    </row>
    <row r="1756" spans="1:11" ht="15.75" hidden="1" customHeight="1" x14ac:dyDescent="0.2">
      <c r="B1756" s="4" t="s">
        <v>8</v>
      </c>
      <c r="C1756" s="4" t="s">
        <v>971</v>
      </c>
      <c r="D1756" s="4" t="s">
        <v>77</v>
      </c>
      <c r="E1756" s="4" t="s">
        <v>23</v>
      </c>
      <c r="F1756" s="4" t="s">
        <v>970</v>
      </c>
      <c r="G1756" s="7" t="s">
        <v>11</v>
      </c>
      <c r="H1756" s="6" t="s">
        <v>11</v>
      </c>
      <c r="I1756" s="4" t="s">
        <v>10</v>
      </c>
      <c r="J1756" s="4" t="s">
        <v>20</v>
      </c>
      <c r="K1756" s="4" t="s">
        <v>0</v>
      </c>
    </row>
    <row r="1757" spans="1:11" ht="15.75" hidden="1" customHeight="1" x14ac:dyDescent="0.2">
      <c r="B1757" s="4" t="s">
        <v>8</v>
      </c>
      <c r="C1757" s="4"/>
      <c r="D1757" s="4" t="s">
        <v>236</v>
      </c>
      <c r="E1757" s="4" t="s">
        <v>23</v>
      </c>
      <c r="F1757" s="4" t="s">
        <v>969</v>
      </c>
      <c r="G1757" s="7" t="str">
        <f>HYPERLINK("https://www.facebook.com/InGoa24x7/videos/2015113998506367/","Social media")</f>
        <v>Social media</v>
      </c>
      <c r="H1757" s="6" t="s">
        <v>11</v>
      </c>
      <c r="I1757" s="4" t="s">
        <v>10</v>
      </c>
      <c r="J1757" s="4" t="s">
        <v>15</v>
      </c>
      <c r="K1757" s="4" t="s">
        <v>0</v>
      </c>
    </row>
    <row r="1758" spans="1:11" ht="15.75" hidden="1" customHeight="1" x14ac:dyDescent="0.2">
      <c r="B1758" s="4" t="s">
        <v>8</v>
      </c>
      <c r="C1758" s="4" t="s">
        <v>95</v>
      </c>
      <c r="D1758" s="4" t="s">
        <v>94</v>
      </c>
      <c r="E1758" s="4" t="s">
        <v>5</v>
      </c>
      <c r="F1758" s="4" t="s">
        <v>968</v>
      </c>
      <c r="G1758" s="7" t="s">
        <v>11</v>
      </c>
      <c r="H1758" s="6" t="s">
        <v>11</v>
      </c>
      <c r="I1758" s="4" t="s">
        <v>197</v>
      </c>
      <c r="J1758" s="4" t="s">
        <v>196</v>
      </c>
      <c r="K1758" s="4" t="s">
        <v>108</v>
      </c>
    </row>
    <row r="1759" spans="1:11" ht="15.75" hidden="1" customHeight="1" x14ac:dyDescent="0.2">
      <c r="B1759" s="4" t="s">
        <v>8</v>
      </c>
      <c r="C1759" s="4" t="s">
        <v>137</v>
      </c>
      <c r="D1759" s="4" t="s">
        <v>71</v>
      </c>
      <c r="E1759" s="4" t="s">
        <v>5</v>
      </c>
      <c r="F1759" s="4" t="s">
        <v>967</v>
      </c>
      <c r="G1759" s="7" t="s">
        <v>11</v>
      </c>
      <c r="H1759" s="6" t="s">
        <v>11</v>
      </c>
      <c r="I1759" s="4" t="s">
        <v>10</v>
      </c>
      <c r="J1759" s="4" t="s">
        <v>15</v>
      </c>
      <c r="K1759" s="4" t="s">
        <v>0</v>
      </c>
    </row>
    <row r="1760" spans="1:11" ht="15.75" customHeight="1" x14ac:dyDescent="0.2">
      <c r="A1760" s="1">
        <v>121</v>
      </c>
      <c r="B1760" s="4" t="s">
        <v>8</v>
      </c>
      <c r="C1760" s="4" t="s">
        <v>966</v>
      </c>
      <c r="D1760" s="4" t="s">
        <v>232</v>
      </c>
      <c r="E1760" s="4" t="s">
        <v>23</v>
      </c>
      <c r="F1760" s="4" t="s">
        <v>965</v>
      </c>
      <c r="G1760" s="7" t="s">
        <v>3</v>
      </c>
      <c r="H1760" s="6" t="s">
        <v>3</v>
      </c>
      <c r="I1760" s="4" t="s">
        <v>109</v>
      </c>
      <c r="J1760" s="4" t="s">
        <v>964</v>
      </c>
      <c r="K1760" s="4" t="s">
        <v>57</v>
      </c>
    </row>
    <row r="1761" spans="1:11" ht="15.75" hidden="1" customHeight="1" x14ac:dyDescent="0.2">
      <c r="B1761" s="4" t="s">
        <v>8</v>
      </c>
      <c r="C1761" s="4" t="s">
        <v>228</v>
      </c>
      <c r="D1761" s="4" t="s">
        <v>36</v>
      </c>
      <c r="E1761" s="4" t="s">
        <v>159</v>
      </c>
      <c r="F1761" s="4" t="s">
        <v>963</v>
      </c>
      <c r="G1761" s="4" t="s">
        <v>289</v>
      </c>
      <c r="H1761" s="6" t="s">
        <v>272</v>
      </c>
      <c r="I1761" s="4" t="s">
        <v>281</v>
      </c>
      <c r="J1761" s="4" t="s">
        <v>50</v>
      </c>
      <c r="K1761" s="4" t="s">
        <v>280</v>
      </c>
    </row>
    <row r="1762" spans="1:11" ht="15.75" customHeight="1" x14ac:dyDescent="0.2">
      <c r="A1762" s="1">
        <v>122</v>
      </c>
      <c r="B1762" s="4" t="s">
        <v>8</v>
      </c>
      <c r="C1762" s="4" t="s">
        <v>139</v>
      </c>
      <c r="D1762" s="4" t="s">
        <v>18</v>
      </c>
      <c r="E1762" s="4" t="s">
        <v>23</v>
      </c>
      <c r="F1762" s="4" t="s">
        <v>962</v>
      </c>
      <c r="G1762" s="7" t="s">
        <v>3</v>
      </c>
      <c r="H1762" s="6" t="s">
        <v>3</v>
      </c>
      <c r="I1762" s="4" t="s">
        <v>10</v>
      </c>
      <c r="J1762" s="4" t="s">
        <v>20</v>
      </c>
      <c r="K1762" s="4" t="s">
        <v>75</v>
      </c>
    </row>
    <row r="1763" spans="1:11" ht="15.75" hidden="1" customHeight="1" x14ac:dyDescent="0.2">
      <c r="B1763" s="4" t="s">
        <v>8</v>
      </c>
      <c r="C1763" s="4" t="s">
        <v>228</v>
      </c>
      <c r="D1763" s="4" t="s">
        <v>36</v>
      </c>
      <c r="E1763" s="4" t="s">
        <v>5</v>
      </c>
      <c r="F1763" s="4" t="s">
        <v>961</v>
      </c>
      <c r="G1763" s="4" t="s">
        <v>329</v>
      </c>
      <c r="H1763" s="6" t="s">
        <v>272</v>
      </c>
      <c r="I1763" s="4" t="s">
        <v>2</v>
      </c>
      <c r="J1763" s="4" t="s">
        <v>15</v>
      </c>
      <c r="K1763" s="4" t="s">
        <v>0</v>
      </c>
    </row>
    <row r="1764" spans="1:11" ht="15.75" hidden="1" customHeight="1" x14ac:dyDescent="0.2">
      <c r="B1764" s="4" t="s">
        <v>8</v>
      </c>
      <c r="C1764" s="4" t="s">
        <v>545</v>
      </c>
      <c r="D1764" s="4" t="s">
        <v>42</v>
      </c>
      <c r="E1764" s="4" t="s">
        <v>23</v>
      </c>
      <c r="F1764" s="4" t="s">
        <v>960</v>
      </c>
      <c r="G1764" s="7" t="s">
        <v>959</v>
      </c>
      <c r="H1764" s="6" t="s">
        <v>11</v>
      </c>
      <c r="I1764" s="4" t="s">
        <v>21</v>
      </c>
      <c r="J1764" s="4" t="s">
        <v>15</v>
      </c>
      <c r="K1764" s="4" t="s">
        <v>19</v>
      </c>
    </row>
    <row r="1765" spans="1:11" ht="15.75" customHeight="1" x14ac:dyDescent="0.2">
      <c r="A1765" s="1">
        <v>123</v>
      </c>
      <c r="B1765" s="4" t="s">
        <v>8</v>
      </c>
      <c r="C1765" s="4" t="s">
        <v>958</v>
      </c>
      <c r="D1765" s="4" t="s">
        <v>232</v>
      </c>
      <c r="E1765" s="4" t="s">
        <v>23</v>
      </c>
      <c r="F1765" s="4" t="s">
        <v>957</v>
      </c>
      <c r="G1765" s="7" t="s">
        <v>3</v>
      </c>
      <c r="H1765" s="6" t="s">
        <v>3</v>
      </c>
      <c r="I1765" s="4" t="s">
        <v>2</v>
      </c>
      <c r="J1765" s="4" t="s">
        <v>20</v>
      </c>
      <c r="K1765" s="4" t="s">
        <v>0</v>
      </c>
    </row>
    <row r="1766" spans="1:11" ht="15.75" customHeight="1" x14ac:dyDescent="0.2">
      <c r="A1766" s="1">
        <v>124</v>
      </c>
      <c r="B1766" s="4" t="s">
        <v>8</v>
      </c>
      <c r="C1766" s="4" t="s">
        <v>271</v>
      </c>
      <c r="D1766" s="4" t="s">
        <v>94</v>
      </c>
      <c r="E1766" s="4" t="s">
        <v>23</v>
      </c>
      <c r="F1766" s="4" t="s">
        <v>956</v>
      </c>
      <c r="G1766" s="7" t="s">
        <v>3</v>
      </c>
      <c r="H1766" s="6" t="s">
        <v>3</v>
      </c>
      <c r="I1766" s="4" t="s">
        <v>86</v>
      </c>
      <c r="J1766" s="4" t="s">
        <v>20</v>
      </c>
      <c r="K1766" s="4" t="s">
        <v>955</v>
      </c>
    </row>
    <row r="1767" spans="1:11" ht="15.75" customHeight="1" x14ac:dyDescent="0.2">
      <c r="A1767" s="1">
        <v>125</v>
      </c>
      <c r="B1767" s="4" t="s">
        <v>8</v>
      </c>
      <c r="C1767" s="4" t="s">
        <v>954</v>
      </c>
      <c r="D1767" s="4" t="s">
        <v>28</v>
      </c>
      <c r="E1767" s="4" t="s">
        <v>27</v>
      </c>
      <c r="F1767" s="4" t="s">
        <v>953</v>
      </c>
      <c r="G1767" s="7" t="str">
        <f>HYPERLINK("https://timesofindia.indiatimes.com/city/vadodara/man-arrested-for-unnatural-sex-with-three-cows/articleshow/62533041.cms","News")</f>
        <v>News</v>
      </c>
      <c r="H1767" s="6" t="s">
        <v>3</v>
      </c>
      <c r="I1767" s="4" t="s">
        <v>109</v>
      </c>
      <c r="J1767" s="4" t="s">
        <v>82</v>
      </c>
      <c r="K1767" s="4" t="s">
        <v>57</v>
      </c>
    </row>
    <row r="1768" spans="1:11" ht="15.75" hidden="1" customHeight="1" x14ac:dyDescent="0.2">
      <c r="B1768" s="4" t="s">
        <v>8</v>
      </c>
      <c r="C1768" s="4" t="s">
        <v>104</v>
      </c>
      <c r="D1768" s="4" t="s">
        <v>18</v>
      </c>
      <c r="E1768" s="4" t="s">
        <v>5</v>
      </c>
      <c r="F1768" s="4" t="s">
        <v>952</v>
      </c>
      <c r="G1768" s="7" t="s">
        <v>11</v>
      </c>
      <c r="H1768" s="6" t="s">
        <v>11</v>
      </c>
      <c r="I1768" s="4" t="s">
        <v>10</v>
      </c>
      <c r="J1768" s="4" t="s">
        <v>15</v>
      </c>
      <c r="K1768" s="4" t="s">
        <v>75</v>
      </c>
    </row>
    <row r="1769" spans="1:11" ht="15.75" hidden="1" customHeight="1" x14ac:dyDescent="0.2">
      <c r="B1769" s="4" t="s">
        <v>8</v>
      </c>
      <c r="C1769" s="4" t="s">
        <v>228</v>
      </c>
      <c r="D1769" s="4" t="s">
        <v>36</v>
      </c>
      <c r="E1769" s="4" t="s">
        <v>159</v>
      </c>
      <c r="F1769" s="4" t="s">
        <v>951</v>
      </c>
      <c r="G1769" s="4" t="s">
        <v>329</v>
      </c>
      <c r="H1769" s="6" t="s">
        <v>272</v>
      </c>
      <c r="I1769" s="4" t="s">
        <v>2</v>
      </c>
      <c r="J1769" s="4" t="s">
        <v>15</v>
      </c>
      <c r="K1769" s="4" t="s">
        <v>0</v>
      </c>
    </row>
    <row r="1770" spans="1:11" ht="15.75" customHeight="1" x14ac:dyDescent="0.2">
      <c r="A1770" s="1">
        <v>126</v>
      </c>
      <c r="B1770" s="4" t="s">
        <v>8</v>
      </c>
      <c r="C1770" s="4" t="s">
        <v>950</v>
      </c>
      <c r="D1770" s="4" t="s">
        <v>94</v>
      </c>
      <c r="E1770" s="4" t="s">
        <v>159</v>
      </c>
      <c r="F1770" s="4" t="s">
        <v>949</v>
      </c>
      <c r="G1770" s="7" t="s">
        <v>199</v>
      </c>
      <c r="H1770" s="6" t="s">
        <v>3</v>
      </c>
      <c r="I1770" s="4" t="s">
        <v>10</v>
      </c>
      <c r="J1770" s="4" t="s">
        <v>15</v>
      </c>
      <c r="K1770" s="4" t="s">
        <v>33</v>
      </c>
    </row>
    <row r="1771" spans="1:11" ht="15.75" hidden="1" customHeight="1" x14ac:dyDescent="0.2">
      <c r="B1771" s="4" t="s">
        <v>8</v>
      </c>
      <c r="C1771" s="4" t="s">
        <v>566</v>
      </c>
      <c r="D1771" s="4" t="s">
        <v>42</v>
      </c>
      <c r="E1771" s="4" t="s">
        <v>5</v>
      </c>
      <c r="F1771" s="4" t="s">
        <v>948</v>
      </c>
      <c r="G1771" s="7" t="s">
        <v>11</v>
      </c>
      <c r="H1771" s="6" t="s">
        <v>11</v>
      </c>
      <c r="I1771" s="4" t="s">
        <v>10</v>
      </c>
      <c r="J1771" s="4" t="s">
        <v>15</v>
      </c>
      <c r="K1771" s="4" t="s">
        <v>0</v>
      </c>
    </row>
    <row r="1772" spans="1:11" ht="15.75" hidden="1" customHeight="1" x14ac:dyDescent="0.2">
      <c r="B1772" s="4" t="s">
        <v>8</v>
      </c>
      <c r="C1772" s="4" t="s">
        <v>228</v>
      </c>
      <c r="D1772" s="4" t="s">
        <v>36</v>
      </c>
      <c r="E1772" s="4" t="s">
        <v>159</v>
      </c>
      <c r="F1772" s="4" t="s">
        <v>947</v>
      </c>
      <c r="G1772" s="4" t="s">
        <v>289</v>
      </c>
      <c r="H1772" s="6" t="s">
        <v>272</v>
      </c>
      <c r="I1772" s="4" t="s">
        <v>21</v>
      </c>
      <c r="J1772" s="4" t="s">
        <v>50</v>
      </c>
      <c r="K1772" s="4" t="s">
        <v>946</v>
      </c>
    </row>
    <row r="1773" spans="1:11" ht="15.75" hidden="1" customHeight="1" x14ac:dyDescent="0.2">
      <c r="B1773" s="4" t="s">
        <v>8</v>
      </c>
      <c r="C1773" s="4" t="s">
        <v>228</v>
      </c>
      <c r="D1773" s="4" t="s">
        <v>36</v>
      </c>
      <c r="E1773" s="4" t="s">
        <v>5</v>
      </c>
      <c r="F1773" s="4" t="s">
        <v>945</v>
      </c>
      <c r="G1773" s="4" t="s">
        <v>944</v>
      </c>
      <c r="H1773" s="6" t="s">
        <v>272</v>
      </c>
      <c r="I1773" s="4" t="s">
        <v>2</v>
      </c>
      <c r="J1773" s="4" t="s">
        <v>15</v>
      </c>
      <c r="K1773" s="4" t="s">
        <v>0</v>
      </c>
    </row>
    <row r="1774" spans="1:11" ht="15.75" customHeight="1" x14ac:dyDescent="0.2">
      <c r="A1774" s="1">
        <v>127</v>
      </c>
      <c r="B1774" s="4" t="s">
        <v>8</v>
      </c>
      <c r="C1774" s="4" t="s">
        <v>91</v>
      </c>
      <c r="D1774" s="4" t="s">
        <v>42</v>
      </c>
      <c r="E1774" s="4" t="s">
        <v>81</v>
      </c>
      <c r="F1774" s="4" t="s">
        <v>943</v>
      </c>
      <c r="G1774" s="7" t="str">
        <f>HYPERLINK("https://timesofindia.indiatimes.com/city/lucknow/minor-held-for-sex-with-dog/articleshow/62764321.cms","News")</f>
        <v>News</v>
      </c>
      <c r="H1774" s="6" t="s">
        <v>3</v>
      </c>
      <c r="I1774" s="4" t="s">
        <v>10</v>
      </c>
      <c r="J1774" s="4" t="s">
        <v>82</v>
      </c>
      <c r="K1774" s="4" t="s">
        <v>0</v>
      </c>
    </row>
    <row r="1775" spans="1:11" ht="15.75" customHeight="1" x14ac:dyDescent="0.2">
      <c r="A1775" s="1">
        <v>128</v>
      </c>
      <c r="B1775" s="4" t="s">
        <v>8</v>
      </c>
      <c r="C1775" s="4"/>
      <c r="D1775" s="4" t="s">
        <v>236</v>
      </c>
      <c r="E1775" s="4" t="s">
        <v>5</v>
      </c>
      <c r="F1775" s="4" t="s">
        <v>942</v>
      </c>
      <c r="G1775" s="7" t="str">
        <f>HYPERLINK("https://www.express.co.uk/news/nature/915438/acid-attack-victim-dog-injured-face-burnt-worldwide-veterinary-service?fbclid=IwAR11U1VbJzZrEWNwgOE0TfB9CUDDh2fiSjS6iplvkb_zFQS4WmyLKTzYYNE","News")</f>
        <v>News</v>
      </c>
      <c r="H1775" s="6" t="s">
        <v>3</v>
      </c>
      <c r="I1775" s="4" t="s">
        <v>10</v>
      </c>
      <c r="J1775" s="4" t="s">
        <v>15</v>
      </c>
      <c r="K1775" s="4" t="s">
        <v>0</v>
      </c>
    </row>
    <row r="1776" spans="1:11" ht="15.75" hidden="1" customHeight="1" x14ac:dyDescent="0.2">
      <c r="B1776" s="4" t="s">
        <v>8</v>
      </c>
      <c r="C1776" s="4" t="s">
        <v>228</v>
      </c>
      <c r="D1776" s="4" t="s">
        <v>36</v>
      </c>
      <c r="E1776" s="4" t="s">
        <v>159</v>
      </c>
      <c r="F1776" s="4" t="s">
        <v>941</v>
      </c>
      <c r="G1776" s="4" t="s">
        <v>289</v>
      </c>
      <c r="H1776" s="6" t="s">
        <v>272</v>
      </c>
      <c r="I1776" s="4" t="s">
        <v>292</v>
      </c>
      <c r="J1776" s="4" t="s">
        <v>50</v>
      </c>
      <c r="K1776" s="4" t="s">
        <v>940</v>
      </c>
    </row>
    <row r="1777" spans="2:11" ht="15.75" hidden="1" customHeight="1" x14ac:dyDescent="0.2">
      <c r="B1777" s="4" t="s">
        <v>8</v>
      </c>
      <c r="C1777" s="4"/>
      <c r="D1777" s="4" t="s">
        <v>236</v>
      </c>
      <c r="E1777" s="4" t="s">
        <v>5</v>
      </c>
      <c r="F1777" s="4" t="s">
        <v>939</v>
      </c>
      <c r="G1777" s="7" t="str">
        <f>HYPERLINK("https://www.facebook.com/wag.india/posts/867642850085438","Social media")</f>
        <v>Social media</v>
      </c>
      <c r="H1777" s="6" t="s">
        <v>11</v>
      </c>
      <c r="I1777" s="4" t="s">
        <v>10</v>
      </c>
      <c r="J1777" s="4" t="s">
        <v>15</v>
      </c>
      <c r="K1777" s="4" t="s">
        <v>0</v>
      </c>
    </row>
    <row r="1778" spans="2:11" ht="15.75" hidden="1" customHeight="1" x14ac:dyDescent="0.2">
      <c r="B1778" s="4" t="s">
        <v>8</v>
      </c>
      <c r="C1778" s="4" t="s">
        <v>130</v>
      </c>
      <c r="D1778" s="4" t="s">
        <v>77</v>
      </c>
      <c r="E1778" s="4" t="s">
        <v>23</v>
      </c>
      <c r="F1778" s="4" t="s">
        <v>938</v>
      </c>
      <c r="G1778" s="7" t="s">
        <v>11</v>
      </c>
      <c r="H1778" s="6" t="s">
        <v>11</v>
      </c>
      <c r="I1778" s="4" t="s">
        <v>109</v>
      </c>
      <c r="J1778" s="4" t="s">
        <v>15</v>
      </c>
      <c r="K1778" s="4" t="s">
        <v>57</v>
      </c>
    </row>
    <row r="1779" spans="2:11" ht="15.75" hidden="1" customHeight="1" x14ac:dyDescent="0.2">
      <c r="B1779" s="4" t="s">
        <v>8</v>
      </c>
      <c r="C1779" s="4" t="s">
        <v>271</v>
      </c>
      <c r="D1779" s="4" t="s">
        <v>94</v>
      </c>
      <c r="E1779" s="4" t="s">
        <v>5</v>
      </c>
      <c r="F1779" s="4" t="s">
        <v>937</v>
      </c>
      <c r="G1779" s="6" t="s">
        <v>272</v>
      </c>
      <c r="H1779" s="6">
        <v>19</v>
      </c>
      <c r="I1779" s="4" t="s">
        <v>10</v>
      </c>
      <c r="J1779" s="4" t="s">
        <v>15</v>
      </c>
      <c r="K1779" s="4" t="s">
        <v>0</v>
      </c>
    </row>
    <row r="1780" spans="2:11" ht="15.75" hidden="1" customHeight="1" x14ac:dyDescent="0.2">
      <c r="B1780" s="4" t="s">
        <v>8</v>
      </c>
      <c r="C1780" s="4" t="s">
        <v>271</v>
      </c>
      <c r="D1780" s="4" t="s">
        <v>94</v>
      </c>
      <c r="E1780" s="4" t="s">
        <v>5</v>
      </c>
      <c r="F1780" s="4" t="s">
        <v>936</v>
      </c>
      <c r="G1780" s="6" t="s">
        <v>272</v>
      </c>
      <c r="H1780" s="6">
        <v>19</v>
      </c>
      <c r="I1780" s="4" t="s">
        <v>10</v>
      </c>
      <c r="J1780" s="4" t="s">
        <v>15</v>
      </c>
      <c r="K1780" s="4" t="s">
        <v>0</v>
      </c>
    </row>
    <row r="1781" spans="2:11" ht="15.75" hidden="1" customHeight="1" x14ac:dyDescent="0.2">
      <c r="B1781" s="4" t="s">
        <v>8</v>
      </c>
      <c r="C1781" s="4" t="s">
        <v>228</v>
      </c>
      <c r="D1781" s="4" t="s">
        <v>36</v>
      </c>
      <c r="E1781" s="4" t="s">
        <v>5</v>
      </c>
      <c r="F1781" s="4" t="s">
        <v>935</v>
      </c>
      <c r="G1781" s="4" t="s">
        <v>329</v>
      </c>
      <c r="H1781" s="6" t="s">
        <v>272</v>
      </c>
      <c r="I1781" s="4" t="s">
        <v>2</v>
      </c>
      <c r="J1781" s="4" t="s">
        <v>20</v>
      </c>
      <c r="K1781" s="4" t="s">
        <v>529</v>
      </c>
    </row>
    <row r="1782" spans="2:11" ht="15.75" hidden="1" customHeight="1" x14ac:dyDescent="0.2">
      <c r="B1782" s="4" t="s">
        <v>8</v>
      </c>
      <c r="C1782" s="4" t="s">
        <v>228</v>
      </c>
      <c r="D1782" s="4" t="s">
        <v>36</v>
      </c>
      <c r="E1782" s="4" t="s">
        <v>159</v>
      </c>
      <c r="F1782" s="4" t="s">
        <v>934</v>
      </c>
      <c r="G1782" s="4" t="s">
        <v>289</v>
      </c>
      <c r="H1782" s="6" t="s">
        <v>272</v>
      </c>
      <c r="I1782" s="4" t="s">
        <v>281</v>
      </c>
      <c r="J1782" s="4" t="s">
        <v>50</v>
      </c>
      <c r="K1782" s="4" t="s">
        <v>280</v>
      </c>
    </row>
    <row r="1783" spans="2:11" ht="15.75" hidden="1" customHeight="1" x14ac:dyDescent="0.2">
      <c r="B1783" s="4" t="s">
        <v>8</v>
      </c>
      <c r="C1783" s="4" t="s">
        <v>98</v>
      </c>
      <c r="D1783" s="4" t="s">
        <v>97</v>
      </c>
      <c r="E1783" s="4" t="s">
        <v>5</v>
      </c>
      <c r="F1783" s="4" t="s">
        <v>933</v>
      </c>
      <c r="G1783" s="7" t="s">
        <v>11</v>
      </c>
      <c r="H1783" s="6" t="s">
        <v>11</v>
      </c>
      <c r="I1783" s="4" t="s">
        <v>10</v>
      </c>
      <c r="J1783" s="4" t="s">
        <v>20</v>
      </c>
      <c r="K1783" s="4" t="s">
        <v>0</v>
      </c>
    </row>
    <row r="1784" spans="2:11" ht="15.75" hidden="1" customHeight="1" x14ac:dyDescent="0.2">
      <c r="B1784" s="4" t="s">
        <v>8</v>
      </c>
      <c r="C1784" s="4" t="s">
        <v>150</v>
      </c>
      <c r="D1784" s="4" t="s">
        <v>150</v>
      </c>
      <c r="E1784" s="4" t="s">
        <v>159</v>
      </c>
      <c r="F1784" s="4" t="s">
        <v>932</v>
      </c>
      <c r="G1784" s="7" t="s">
        <v>11</v>
      </c>
      <c r="H1784" s="6" t="s">
        <v>11</v>
      </c>
      <c r="I1784" s="4" t="s">
        <v>197</v>
      </c>
      <c r="J1784" s="4" t="s">
        <v>157</v>
      </c>
      <c r="K1784" s="4" t="s">
        <v>339</v>
      </c>
    </row>
    <row r="1785" spans="2:11" ht="15.75" hidden="1" customHeight="1" x14ac:dyDescent="0.2">
      <c r="B1785" s="4" t="s">
        <v>8</v>
      </c>
      <c r="C1785" s="4" t="s">
        <v>104</v>
      </c>
      <c r="D1785" s="4" t="s">
        <v>18</v>
      </c>
      <c r="E1785" s="4" t="s">
        <v>5</v>
      </c>
      <c r="F1785" s="4" t="s">
        <v>931</v>
      </c>
      <c r="G1785" s="7" t="s">
        <v>11</v>
      </c>
      <c r="H1785" s="6" t="s">
        <v>11</v>
      </c>
      <c r="I1785" s="4" t="s">
        <v>10</v>
      </c>
      <c r="J1785" s="4" t="s">
        <v>15</v>
      </c>
      <c r="K1785" s="4" t="s">
        <v>0</v>
      </c>
    </row>
    <row r="1786" spans="2:11" ht="15.75" hidden="1" customHeight="1" x14ac:dyDescent="0.2">
      <c r="B1786" s="4" t="s">
        <v>8</v>
      </c>
      <c r="C1786" s="4" t="s">
        <v>228</v>
      </c>
      <c r="D1786" s="4" t="s">
        <v>36</v>
      </c>
      <c r="E1786" s="4" t="s">
        <v>17</v>
      </c>
      <c r="F1786" s="4" t="s">
        <v>930</v>
      </c>
      <c r="G1786" s="4" t="s">
        <v>273</v>
      </c>
      <c r="H1786" s="6" t="s">
        <v>272</v>
      </c>
      <c r="I1786" s="4" t="s">
        <v>10</v>
      </c>
      <c r="J1786" s="4" t="s">
        <v>15</v>
      </c>
      <c r="K1786" s="4" t="s">
        <v>0</v>
      </c>
    </row>
    <row r="1787" spans="2:11" ht="15.75" hidden="1" customHeight="1" x14ac:dyDescent="0.2">
      <c r="B1787" s="4" t="s">
        <v>8</v>
      </c>
      <c r="C1787" s="4" t="s">
        <v>527</v>
      </c>
      <c r="D1787" s="4" t="s">
        <v>18</v>
      </c>
      <c r="E1787" s="4" t="s">
        <v>5</v>
      </c>
      <c r="F1787" s="4" t="s">
        <v>929</v>
      </c>
      <c r="G1787" s="7" t="s">
        <v>11</v>
      </c>
      <c r="H1787" s="6" t="s">
        <v>11</v>
      </c>
      <c r="I1787" s="4" t="s">
        <v>10</v>
      </c>
      <c r="J1787" s="4" t="s">
        <v>15</v>
      </c>
      <c r="K1787" s="4" t="s">
        <v>0</v>
      </c>
    </row>
    <row r="1788" spans="2:11" ht="15.75" hidden="1" customHeight="1" x14ac:dyDescent="0.2">
      <c r="B1788" s="4" t="s">
        <v>8</v>
      </c>
      <c r="C1788" s="4" t="s">
        <v>527</v>
      </c>
      <c r="D1788" s="4" t="s">
        <v>18</v>
      </c>
      <c r="E1788" s="4" t="s">
        <v>23</v>
      </c>
      <c r="F1788" s="4" t="s">
        <v>928</v>
      </c>
      <c r="G1788" s="7" t="s">
        <v>11</v>
      </c>
      <c r="H1788" s="6" t="s">
        <v>11</v>
      </c>
      <c r="I1788" s="4" t="s">
        <v>10</v>
      </c>
      <c r="J1788" s="4" t="s">
        <v>15</v>
      </c>
      <c r="K1788" s="4" t="s">
        <v>0</v>
      </c>
    </row>
    <row r="1789" spans="2:11" ht="15.75" hidden="1" customHeight="1" x14ac:dyDescent="0.2">
      <c r="B1789" s="4" t="s">
        <v>8</v>
      </c>
      <c r="C1789" s="4" t="s">
        <v>228</v>
      </c>
      <c r="D1789" s="4" t="s">
        <v>36</v>
      </c>
      <c r="E1789" s="4" t="s">
        <v>159</v>
      </c>
      <c r="F1789" s="4" t="s">
        <v>927</v>
      </c>
      <c r="G1789" s="4" t="s">
        <v>289</v>
      </c>
      <c r="H1789" s="6" t="s">
        <v>272</v>
      </c>
      <c r="I1789" s="4" t="s">
        <v>614</v>
      </c>
      <c r="J1789" s="4" t="s">
        <v>50</v>
      </c>
      <c r="K1789" s="4" t="s">
        <v>873</v>
      </c>
    </row>
    <row r="1790" spans="2:11" ht="15.75" hidden="1" customHeight="1" x14ac:dyDescent="0.2">
      <c r="B1790" s="4" t="s">
        <v>8</v>
      </c>
      <c r="C1790" s="4" t="s">
        <v>228</v>
      </c>
      <c r="D1790" s="4" t="s">
        <v>36</v>
      </c>
      <c r="E1790" s="4" t="s">
        <v>159</v>
      </c>
      <c r="F1790" s="4" t="s">
        <v>926</v>
      </c>
      <c r="G1790" s="4" t="s">
        <v>289</v>
      </c>
      <c r="H1790" s="6" t="s">
        <v>272</v>
      </c>
      <c r="I1790" s="4" t="s">
        <v>614</v>
      </c>
      <c r="J1790" s="4" t="s">
        <v>50</v>
      </c>
      <c r="K1790" s="4" t="s">
        <v>280</v>
      </c>
    </row>
    <row r="1791" spans="2:11" ht="15.75" hidden="1" customHeight="1" x14ac:dyDescent="0.2">
      <c r="B1791" s="4" t="s">
        <v>8</v>
      </c>
      <c r="C1791" s="4" t="s">
        <v>228</v>
      </c>
      <c r="D1791" s="4" t="s">
        <v>36</v>
      </c>
      <c r="E1791" s="4" t="s">
        <v>159</v>
      </c>
      <c r="F1791" s="4" t="s">
        <v>925</v>
      </c>
      <c r="G1791" s="4" t="s">
        <v>289</v>
      </c>
      <c r="H1791" s="6" t="s">
        <v>272</v>
      </c>
      <c r="I1791" s="4" t="s">
        <v>21</v>
      </c>
      <c r="J1791" s="4" t="s">
        <v>50</v>
      </c>
      <c r="K1791" s="4" t="s">
        <v>620</v>
      </c>
    </row>
    <row r="1792" spans="2:11" ht="15.75" hidden="1" customHeight="1" x14ac:dyDescent="0.2">
      <c r="B1792" s="4" t="s">
        <v>8</v>
      </c>
      <c r="C1792" s="4" t="s">
        <v>104</v>
      </c>
      <c r="D1792" s="4" t="s">
        <v>18</v>
      </c>
      <c r="E1792" s="4" t="s">
        <v>23</v>
      </c>
      <c r="F1792" s="4" t="s">
        <v>924</v>
      </c>
      <c r="G1792" s="7" t="s">
        <v>11</v>
      </c>
      <c r="H1792" s="6" t="s">
        <v>11</v>
      </c>
      <c r="I1792" s="4" t="s">
        <v>10</v>
      </c>
      <c r="J1792" s="4" t="s">
        <v>20</v>
      </c>
      <c r="K1792" s="4" t="s">
        <v>0</v>
      </c>
    </row>
    <row r="1793" spans="1:11" ht="15.75" hidden="1" customHeight="1" x14ac:dyDescent="0.2">
      <c r="B1793" s="4" t="s">
        <v>8</v>
      </c>
      <c r="C1793" s="4" t="s">
        <v>923</v>
      </c>
      <c r="D1793" s="4" t="s">
        <v>77</v>
      </c>
      <c r="E1793" s="4" t="s">
        <v>159</v>
      </c>
      <c r="F1793" s="4" t="s">
        <v>922</v>
      </c>
      <c r="G1793" s="7" t="s">
        <v>11</v>
      </c>
      <c r="H1793" s="6" t="s">
        <v>11</v>
      </c>
      <c r="I1793" s="4" t="s">
        <v>2</v>
      </c>
      <c r="J1793" s="4" t="s">
        <v>215</v>
      </c>
      <c r="K1793" s="4" t="s">
        <v>0</v>
      </c>
    </row>
    <row r="1794" spans="1:11" ht="15.75" hidden="1" customHeight="1" x14ac:dyDescent="0.2">
      <c r="B1794" s="4" t="s">
        <v>8</v>
      </c>
      <c r="C1794" s="4" t="s">
        <v>89</v>
      </c>
      <c r="D1794" s="4" t="s">
        <v>88</v>
      </c>
      <c r="E1794" s="4" t="s">
        <v>17</v>
      </c>
      <c r="F1794" s="4" t="s">
        <v>921</v>
      </c>
      <c r="G1794" s="7" t="s">
        <v>11</v>
      </c>
      <c r="H1794" s="6" t="s">
        <v>11</v>
      </c>
      <c r="I1794" s="4" t="s">
        <v>10</v>
      </c>
      <c r="J1794" s="4" t="s">
        <v>15</v>
      </c>
      <c r="K1794" s="4" t="s">
        <v>0</v>
      </c>
    </row>
    <row r="1795" spans="1:11" ht="1" hidden="1" customHeight="1" x14ac:dyDescent="0.2">
      <c r="B1795" s="4" t="s">
        <v>8</v>
      </c>
      <c r="C1795" s="4" t="s">
        <v>150</v>
      </c>
      <c r="D1795" s="4" t="s">
        <v>150</v>
      </c>
      <c r="E1795" s="4" t="s">
        <v>5</v>
      </c>
      <c r="F1795" s="4" t="s">
        <v>920</v>
      </c>
      <c r="G1795" s="7" t="s">
        <v>11</v>
      </c>
      <c r="H1795" s="6" t="s">
        <v>11</v>
      </c>
      <c r="I1795" s="4" t="s">
        <v>10</v>
      </c>
      <c r="J1795" s="4" t="s">
        <v>20</v>
      </c>
      <c r="K1795" s="4" t="s">
        <v>0</v>
      </c>
    </row>
    <row r="1796" spans="1:11" ht="15.75" hidden="1" customHeight="1" x14ac:dyDescent="0.2">
      <c r="B1796" s="4" t="s">
        <v>8</v>
      </c>
      <c r="C1796" s="4" t="s">
        <v>104</v>
      </c>
      <c r="D1796" s="4" t="s">
        <v>18</v>
      </c>
      <c r="E1796" s="4" t="s">
        <v>17</v>
      </c>
      <c r="F1796" s="4" t="s">
        <v>919</v>
      </c>
      <c r="G1796" s="7" t="s">
        <v>11</v>
      </c>
      <c r="H1796" s="6" t="s">
        <v>11</v>
      </c>
      <c r="I1796" s="4" t="s">
        <v>10</v>
      </c>
      <c r="J1796" s="4" t="s">
        <v>15</v>
      </c>
      <c r="K1796" s="4" t="s">
        <v>0</v>
      </c>
    </row>
    <row r="1797" spans="1:11" ht="15.75" hidden="1" customHeight="1" x14ac:dyDescent="0.2">
      <c r="B1797" s="4" t="s">
        <v>8</v>
      </c>
      <c r="C1797" s="4" t="s">
        <v>918</v>
      </c>
      <c r="D1797" s="4" t="s">
        <v>36</v>
      </c>
      <c r="E1797" s="4" t="s">
        <v>159</v>
      </c>
      <c r="F1797" s="4" t="s">
        <v>917</v>
      </c>
      <c r="G1797" s="4" t="s">
        <v>289</v>
      </c>
      <c r="H1797" s="6" t="s">
        <v>272</v>
      </c>
      <c r="I1797" s="4" t="s">
        <v>292</v>
      </c>
      <c r="J1797" s="4" t="s">
        <v>50</v>
      </c>
      <c r="K1797" s="4" t="s">
        <v>280</v>
      </c>
    </row>
    <row r="1798" spans="1:11" ht="15.75" hidden="1" customHeight="1" x14ac:dyDescent="0.2">
      <c r="B1798" s="4" t="s">
        <v>8</v>
      </c>
      <c r="C1798" s="4" t="s">
        <v>228</v>
      </c>
      <c r="D1798" s="4" t="s">
        <v>36</v>
      </c>
      <c r="E1798" s="4" t="s">
        <v>159</v>
      </c>
      <c r="F1798" s="4" t="s">
        <v>916</v>
      </c>
      <c r="G1798" s="4" t="s">
        <v>273</v>
      </c>
      <c r="H1798" s="6" t="s">
        <v>272</v>
      </c>
      <c r="I1798" s="4" t="s">
        <v>10</v>
      </c>
      <c r="J1798" s="4" t="s">
        <v>15</v>
      </c>
      <c r="K1798" s="4" t="s">
        <v>0</v>
      </c>
    </row>
    <row r="1799" spans="1:11" ht="15.75" hidden="1" customHeight="1" x14ac:dyDescent="0.2">
      <c r="B1799" s="4" t="s">
        <v>8</v>
      </c>
      <c r="C1799" s="4" t="s">
        <v>228</v>
      </c>
      <c r="D1799" s="4" t="s">
        <v>36</v>
      </c>
      <c r="E1799" s="4" t="s">
        <v>17</v>
      </c>
      <c r="F1799" s="4" t="s">
        <v>915</v>
      </c>
      <c r="G1799" s="4" t="s">
        <v>289</v>
      </c>
      <c r="H1799" s="6" t="s">
        <v>272</v>
      </c>
      <c r="I1799" s="4" t="s">
        <v>292</v>
      </c>
      <c r="J1799" s="4" t="s">
        <v>50</v>
      </c>
      <c r="K1799" s="4" t="s">
        <v>914</v>
      </c>
    </row>
    <row r="1800" spans="1:11" ht="15.75" hidden="1" customHeight="1" x14ac:dyDescent="0.2">
      <c r="B1800" s="4" t="s">
        <v>8</v>
      </c>
      <c r="C1800" s="4" t="s">
        <v>299</v>
      </c>
      <c r="D1800" s="4" t="s">
        <v>28</v>
      </c>
      <c r="E1800" s="4" t="s">
        <v>159</v>
      </c>
      <c r="F1800" s="4" t="s">
        <v>913</v>
      </c>
      <c r="G1800" s="7" t="s">
        <v>11</v>
      </c>
      <c r="H1800" s="6" t="s">
        <v>11</v>
      </c>
      <c r="I1800" s="4" t="s">
        <v>21</v>
      </c>
      <c r="J1800" s="4" t="s">
        <v>157</v>
      </c>
      <c r="K1800" s="5" t="s">
        <v>912</v>
      </c>
    </row>
    <row r="1801" spans="1:11" ht="15.75" customHeight="1" x14ac:dyDescent="0.2">
      <c r="A1801" s="1">
        <v>129</v>
      </c>
      <c r="B1801" s="4" t="s">
        <v>8</v>
      </c>
      <c r="C1801" s="4" t="s">
        <v>222</v>
      </c>
      <c r="D1801" s="4" t="s">
        <v>28</v>
      </c>
      <c r="E1801" s="4" t="s">
        <v>27</v>
      </c>
      <c r="F1801" s="4" t="s">
        <v>911</v>
      </c>
      <c r="G1801" s="7" t="s">
        <v>3</v>
      </c>
      <c r="H1801" s="6" t="s">
        <v>3</v>
      </c>
      <c r="I1801" s="4" t="s">
        <v>10</v>
      </c>
      <c r="J1801" s="4" t="s">
        <v>20</v>
      </c>
      <c r="K1801" s="4" t="s">
        <v>0</v>
      </c>
    </row>
    <row r="1802" spans="1:11" ht="15.75" hidden="1" customHeight="1" x14ac:dyDescent="0.2">
      <c r="B1802" s="4" t="s">
        <v>8</v>
      </c>
      <c r="C1802" s="4" t="s">
        <v>170</v>
      </c>
      <c r="D1802" s="4" t="s">
        <v>88</v>
      </c>
      <c r="E1802" s="4" t="s">
        <v>5</v>
      </c>
      <c r="F1802" s="4" t="s">
        <v>910</v>
      </c>
      <c r="G1802" s="7" t="s">
        <v>11</v>
      </c>
      <c r="H1802" s="6" t="s">
        <v>11</v>
      </c>
      <c r="I1802" s="4" t="s">
        <v>10</v>
      </c>
      <c r="J1802" s="4" t="s">
        <v>15</v>
      </c>
      <c r="K1802" s="4" t="s">
        <v>0</v>
      </c>
    </row>
    <row r="1803" spans="1:11" ht="15.75" hidden="1" customHeight="1" x14ac:dyDescent="0.2">
      <c r="B1803" s="4" t="s">
        <v>8</v>
      </c>
      <c r="C1803" s="4" t="s">
        <v>228</v>
      </c>
      <c r="D1803" s="4" t="s">
        <v>36</v>
      </c>
      <c r="E1803" s="4" t="s">
        <v>17</v>
      </c>
      <c r="F1803" s="4" t="s">
        <v>909</v>
      </c>
      <c r="G1803" s="4" t="s">
        <v>289</v>
      </c>
      <c r="H1803" s="6" t="s">
        <v>272</v>
      </c>
      <c r="I1803" s="4" t="s">
        <v>292</v>
      </c>
      <c r="J1803" s="4" t="s">
        <v>50</v>
      </c>
      <c r="K1803" s="4" t="s">
        <v>908</v>
      </c>
    </row>
    <row r="1804" spans="1:11" ht="15.75" customHeight="1" x14ac:dyDescent="0.2">
      <c r="A1804" s="1">
        <v>130</v>
      </c>
      <c r="B1804" s="4" t="s">
        <v>8</v>
      </c>
      <c r="C1804" s="4" t="s">
        <v>358</v>
      </c>
      <c r="D1804" s="4" t="s">
        <v>42</v>
      </c>
      <c r="E1804" s="4" t="s">
        <v>27</v>
      </c>
      <c r="F1804" s="4" t="s">
        <v>907</v>
      </c>
      <c r="G1804" s="7" t="str">
        <f>HYPERLINK("http://www.dnaindia.com/delhi/report-dog-beaten-to-death-in-noida-case-filed-2599892","News")</f>
        <v>News</v>
      </c>
      <c r="H1804" s="6" t="s">
        <v>3</v>
      </c>
      <c r="I1804" s="4" t="s">
        <v>10</v>
      </c>
      <c r="J1804" s="4" t="s">
        <v>20</v>
      </c>
      <c r="K1804" s="4" t="s">
        <v>0</v>
      </c>
    </row>
    <row r="1805" spans="1:11" ht="15.75" hidden="1" customHeight="1" x14ac:dyDescent="0.2">
      <c r="B1805" s="4" t="s">
        <v>8</v>
      </c>
      <c r="C1805" s="4" t="s">
        <v>111</v>
      </c>
      <c r="D1805" s="4" t="s">
        <v>24</v>
      </c>
      <c r="E1805" s="4" t="s">
        <v>55</v>
      </c>
      <c r="F1805" s="4" t="s">
        <v>906</v>
      </c>
      <c r="G1805" s="4" t="s">
        <v>447</v>
      </c>
      <c r="H1805" s="6" t="s">
        <v>272</v>
      </c>
      <c r="I1805" s="4" t="s">
        <v>2</v>
      </c>
      <c r="J1805" s="4" t="s">
        <v>20</v>
      </c>
      <c r="K1805" s="4" t="s">
        <v>0</v>
      </c>
    </row>
    <row r="1806" spans="1:11" ht="15.75" hidden="1" customHeight="1" x14ac:dyDescent="0.2">
      <c r="B1806" s="4" t="s">
        <v>8</v>
      </c>
      <c r="C1806" s="4" t="s">
        <v>228</v>
      </c>
      <c r="D1806" s="4" t="s">
        <v>36</v>
      </c>
      <c r="E1806" s="4" t="s">
        <v>17</v>
      </c>
      <c r="F1806" s="4" t="s">
        <v>905</v>
      </c>
      <c r="G1806" s="4" t="s">
        <v>329</v>
      </c>
      <c r="H1806" s="6" t="s">
        <v>272</v>
      </c>
      <c r="I1806" s="4" t="s">
        <v>2</v>
      </c>
      <c r="J1806" s="4" t="s">
        <v>15</v>
      </c>
      <c r="K1806" s="4" t="s">
        <v>0</v>
      </c>
    </row>
    <row r="1807" spans="1:11" ht="15.75" hidden="1" customHeight="1" x14ac:dyDescent="0.2">
      <c r="B1807" s="4" t="s">
        <v>8</v>
      </c>
      <c r="C1807" s="4" t="s">
        <v>150</v>
      </c>
      <c r="D1807" s="4" t="s">
        <v>150</v>
      </c>
      <c r="E1807" s="4" t="s">
        <v>5</v>
      </c>
      <c r="F1807" s="4" t="s">
        <v>904</v>
      </c>
      <c r="G1807" s="7" t="s">
        <v>11</v>
      </c>
      <c r="H1807" s="6" t="s">
        <v>11</v>
      </c>
      <c r="I1807" s="4" t="s">
        <v>10</v>
      </c>
      <c r="J1807" s="4" t="s">
        <v>20</v>
      </c>
      <c r="K1807" s="4" t="s">
        <v>0</v>
      </c>
    </row>
    <row r="1808" spans="1:11" ht="15.75" hidden="1" customHeight="1" x14ac:dyDescent="0.2">
      <c r="B1808" s="4" t="s">
        <v>8</v>
      </c>
      <c r="C1808" s="4" t="s">
        <v>228</v>
      </c>
      <c r="D1808" s="4" t="s">
        <v>36</v>
      </c>
      <c r="E1808" s="4" t="s">
        <v>159</v>
      </c>
      <c r="F1808" s="4" t="s">
        <v>903</v>
      </c>
      <c r="G1808" s="4" t="s">
        <v>289</v>
      </c>
      <c r="H1808" s="6" t="s">
        <v>272</v>
      </c>
      <c r="I1808" s="4" t="s">
        <v>21</v>
      </c>
      <c r="J1808" s="4" t="s">
        <v>50</v>
      </c>
      <c r="K1808" s="4" t="s">
        <v>595</v>
      </c>
    </row>
    <row r="1809" spans="1:11" ht="15.75" hidden="1" customHeight="1" x14ac:dyDescent="0.2">
      <c r="B1809" s="4" t="s">
        <v>8</v>
      </c>
      <c r="C1809" s="4" t="s">
        <v>89</v>
      </c>
      <c r="D1809" s="4" t="s">
        <v>88</v>
      </c>
      <c r="E1809" s="4" t="s">
        <v>5</v>
      </c>
      <c r="F1809" s="4" t="s">
        <v>902</v>
      </c>
      <c r="G1809" s="7" t="s">
        <v>11</v>
      </c>
      <c r="H1809" s="6" t="s">
        <v>11</v>
      </c>
      <c r="I1809" s="4" t="s">
        <v>10</v>
      </c>
      <c r="J1809" s="4" t="s">
        <v>15</v>
      </c>
      <c r="K1809" s="4" t="s">
        <v>0</v>
      </c>
    </row>
    <row r="1810" spans="1:11" ht="15.75" hidden="1" customHeight="1" x14ac:dyDescent="0.2">
      <c r="B1810" s="4" t="s">
        <v>8</v>
      </c>
      <c r="C1810" s="4" t="s">
        <v>130</v>
      </c>
      <c r="D1810" s="4" t="s">
        <v>77</v>
      </c>
      <c r="E1810" s="4" t="s">
        <v>17</v>
      </c>
      <c r="F1810" s="4" t="s">
        <v>901</v>
      </c>
      <c r="G1810" s="7" t="s">
        <v>11</v>
      </c>
      <c r="H1810" s="6" t="s">
        <v>11</v>
      </c>
      <c r="I1810" s="4" t="s">
        <v>10</v>
      </c>
      <c r="J1810" s="4" t="s">
        <v>15</v>
      </c>
      <c r="K1810" s="4" t="s">
        <v>0</v>
      </c>
    </row>
    <row r="1811" spans="1:11" ht="15.75" hidden="1" customHeight="1" x14ac:dyDescent="0.2">
      <c r="B1811" s="4" t="s">
        <v>8</v>
      </c>
      <c r="C1811" s="4" t="s">
        <v>228</v>
      </c>
      <c r="D1811" s="4" t="s">
        <v>36</v>
      </c>
      <c r="E1811" s="4" t="s">
        <v>159</v>
      </c>
      <c r="F1811" s="4" t="s">
        <v>900</v>
      </c>
      <c r="G1811" s="4" t="s">
        <v>289</v>
      </c>
      <c r="H1811" s="6" t="s">
        <v>272</v>
      </c>
      <c r="I1811" s="4" t="s">
        <v>292</v>
      </c>
      <c r="J1811" s="4" t="s">
        <v>50</v>
      </c>
      <c r="K1811" s="4" t="s">
        <v>538</v>
      </c>
    </row>
    <row r="1812" spans="1:11" ht="15.75" customHeight="1" x14ac:dyDescent="0.2">
      <c r="A1812" s="1">
        <v>131</v>
      </c>
      <c r="B1812" s="4" t="s">
        <v>8</v>
      </c>
      <c r="C1812" s="4" t="s">
        <v>104</v>
      </c>
      <c r="D1812" s="4" t="s">
        <v>18</v>
      </c>
      <c r="E1812" s="4" t="s">
        <v>23</v>
      </c>
      <c r="F1812" s="4" t="s">
        <v>899</v>
      </c>
      <c r="G1812" s="7" t="str">
        <f>HYPERLINK("https://timesofindia.indiatimes.com/city/mumbai/Street-cat-tied-up-starved-and-burnt-to-death-in-oshiwara/articleshow/66928613.cms","News")</f>
        <v>News</v>
      </c>
      <c r="H1812" s="6" t="s">
        <v>3</v>
      </c>
      <c r="I1812" s="4" t="s">
        <v>10</v>
      </c>
      <c r="J1812" s="4" t="s">
        <v>20</v>
      </c>
      <c r="K1812" s="4" t="s">
        <v>75</v>
      </c>
    </row>
    <row r="1813" spans="1:11" ht="15.75" hidden="1" customHeight="1" x14ac:dyDescent="0.2">
      <c r="B1813" s="4" t="s">
        <v>8</v>
      </c>
      <c r="C1813" s="4" t="s">
        <v>228</v>
      </c>
      <c r="D1813" s="4" t="s">
        <v>36</v>
      </c>
      <c r="E1813" s="4" t="s">
        <v>159</v>
      </c>
      <c r="F1813" s="4" t="s">
        <v>898</v>
      </c>
      <c r="G1813" s="4" t="s">
        <v>289</v>
      </c>
      <c r="H1813" s="6" t="s">
        <v>272</v>
      </c>
      <c r="I1813" s="4" t="s">
        <v>21</v>
      </c>
      <c r="J1813" s="4" t="s">
        <v>852</v>
      </c>
      <c r="K1813" s="4" t="s">
        <v>897</v>
      </c>
    </row>
    <row r="1814" spans="1:11" ht="15.75" customHeight="1" x14ac:dyDescent="0.2">
      <c r="A1814" s="1">
        <v>132</v>
      </c>
      <c r="B1814" s="4" t="s">
        <v>8</v>
      </c>
      <c r="C1814" s="4" t="s">
        <v>150</v>
      </c>
      <c r="D1814" s="4" t="s">
        <v>150</v>
      </c>
      <c r="E1814" s="4" t="s">
        <v>27</v>
      </c>
      <c r="F1814" s="4" t="s">
        <v>896</v>
      </c>
      <c r="G1814" s="7" t="s">
        <v>3</v>
      </c>
      <c r="H1814" s="6" t="s">
        <v>3</v>
      </c>
      <c r="I1814" s="4" t="s">
        <v>10</v>
      </c>
      <c r="J1814" s="4" t="s">
        <v>20</v>
      </c>
      <c r="K1814" s="4" t="s">
        <v>0</v>
      </c>
    </row>
    <row r="1815" spans="1:11" ht="15.75" customHeight="1" x14ac:dyDescent="0.2">
      <c r="A1815" s="1">
        <v>133</v>
      </c>
      <c r="B1815" s="4" t="s">
        <v>8</v>
      </c>
      <c r="C1815" s="4" t="s">
        <v>104</v>
      </c>
      <c r="D1815" s="4" t="s">
        <v>18</v>
      </c>
      <c r="E1815" s="4" t="s">
        <v>5</v>
      </c>
      <c r="F1815" s="4" t="s">
        <v>895</v>
      </c>
      <c r="G1815" s="7" t="str">
        <f>HYPERLINK("https://timesofindia.indiatimes.com/city/mumbai/two-dogs-beaten-outside-kandivli-society-one-dies/articleshow/63776819.cms","News")</f>
        <v>News</v>
      </c>
      <c r="H1815" s="6" t="s">
        <v>3</v>
      </c>
      <c r="I1815" s="4" t="s">
        <v>10</v>
      </c>
      <c r="J1815" s="4" t="s">
        <v>20</v>
      </c>
      <c r="K1815" s="4" t="s">
        <v>0</v>
      </c>
    </row>
    <row r="1816" spans="1:11" ht="15.75" hidden="1" customHeight="1" x14ac:dyDescent="0.2">
      <c r="B1816" s="4" t="s">
        <v>8</v>
      </c>
      <c r="C1816" s="4" t="s">
        <v>89</v>
      </c>
      <c r="D1816" s="4" t="s">
        <v>88</v>
      </c>
      <c r="E1816" s="4" t="s">
        <v>5</v>
      </c>
      <c r="F1816" s="4" t="s">
        <v>894</v>
      </c>
      <c r="G1816" s="7" t="s">
        <v>11</v>
      </c>
      <c r="H1816" s="6" t="s">
        <v>11</v>
      </c>
      <c r="I1816" s="4" t="s">
        <v>10</v>
      </c>
      <c r="J1816" s="4" t="s">
        <v>15</v>
      </c>
      <c r="K1816" s="4" t="s">
        <v>0</v>
      </c>
    </row>
    <row r="1817" spans="1:11" ht="15.75" hidden="1" customHeight="1" x14ac:dyDescent="0.2">
      <c r="B1817" s="4" t="s">
        <v>8</v>
      </c>
      <c r="C1817" s="4" t="s">
        <v>98</v>
      </c>
      <c r="D1817" s="4" t="s">
        <v>97</v>
      </c>
      <c r="E1817" s="4" t="s">
        <v>5</v>
      </c>
      <c r="F1817" s="4" t="s">
        <v>893</v>
      </c>
      <c r="G1817" s="7" t="s">
        <v>11</v>
      </c>
      <c r="H1817" s="6" t="s">
        <v>11</v>
      </c>
      <c r="I1817" s="4" t="s">
        <v>10</v>
      </c>
      <c r="J1817" s="4" t="s">
        <v>15</v>
      </c>
      <c r="K1817" s="4" t="s">
        <v>34</v>
      </c>
    </row>
    <row r="1818" spans="1:11" ht="15.75" hidden="1" customHeight="1" x14ac:dyDescent="0.2">
      <c r="B1818" s="4" t="s">
        <v>8</v>
      </c>
      <c r="C1818" s="4" t="s">
        <v>228</v>
      </c>
      <c r="D1818" s="4" t="s">
        <v>36</v>
      </c>
      <c r="E1818" s="4" t="s">
        <v>23</v>
      </c>
      <c r="F1818" s="4" t="s">
        <v>892</v>
      </c>
      <c r="G1818" s="4" t="s">
        <v>329</v>
      </c>
      <c r="H1818" s="6" t="s">
        <v>272</v>
      </c>
      <c r="I1818" s="4" t="s">
        <v>10</v>
      </c>
      <c r="J1818" s="4" t="s">
        <v>20</v>
      </c>
      <c r="K1818" s="4" t="s">
        <v>0</v>
      </c>
    </row>
    <row r="1819" spans="1:11" ht="15.75" hidden="1" customHeight="1" x14ac:dyDescent="0.2">
      <c r="B1819" s="4" t="s">
        <v>8</v>
      </c>
      <c r="C1819" s="4" t="s">
        <v>271</v>
      </c>
      <c r="D1819" s="4" t="s">
        <v>94</v>
      </c>
      <c r="E1819" s="4" t="s">
        <v>17</v>
      </c>
      <c r="F1819" s="4" t="s">
        <v>891</v>
      </c>
      <c r="G1819" s="7" t="s">
        <v>11</v>
      </c>
      <c r="H1819" s="6" t="s">
        <v>11</v>
      </c>
      <c r="I1819" s="4" t="s">
        <v>10</v>
      </c>
      <c r="J1819" s="4" t="s">
        <v>15</v>
      </c>
      <c r="K1819" s="4" t="s">
        <v>0</v>
      </c>
    </row>
    <row r="1820" spans="1:11" ht="15.75" customHeight="1" x14ac:dyDescent="0.2">
      <c r="A1820" s="1">
        <v>134</v>
      </c>
      <c r="B1820" s="4" t="s">
        <v>8</v>
      </c>
      <c r="C1820" s="4" t="s">
        <v>150</v>
      </c>
      <c r="D1820" s="4" t="s">
        <v>150</v>
      </c>
      <c r="E1820" s="4" t="s">
        <v>27</v>
      </c>
      <c r="F1820" s="4" t="s">
        <v>890</v>
      </c>
      <c r="G1820" s="7" t="s">
        <v>3</v>
      </c>
      <c r="H1820" s="6" t="s">
        <v>3</v>
      </c>
      <c r="I1820" s="4" t="s">
        <v>10</v>
      </c>
      <c r="J1820" s="4" t="s">
        <v>20</v>
      </c>
      <c r="K1820" s="4" t="s">
        <v>0</v>
      </c>
    </row>
    <row r="1821" spans="1:11" ht="15.75" hidden="1" customHeight="1" x14ac:dyDescent="0.2">
      <c r="B1821" s="4" t="s">
        <v>8</v>
      </c>
      <c r="C1821" s="4" t="s">
        <v>889</v>
      </c>
      <c r="D1821" s="4" t="s">
        <v>36</v>
      </c>
      <c r="E1821" s="4" t="s">
        <v>17</v>
      </c>
      <c r="F1821" s="4" t="s">
        <v>888</v>
      </c>
      <c r="G1821" s="4" t="s">
        <v>329</v>
      </c>
      <c r="H1821" s="6" t="s">
        <v>272</v>
      </c>
      <c r="I1821" s="4" t="s">
        <v>10</v>
      </c>
      <c r="J1821" s="4" t="s">
        <v>15</v>
      </c>
      <c r="K1821" s="4" t="s">
        <v>0</v>
      </c>
    </row>
    <row r="1822" spans="1:11" ht="15.75" hidden="1" customHeight="1" x14ac:dyDescent="0.2">
      <c r="B1822" s="4" t="s">
        <v>8</v>
      </c>
      <c r="C1822" s="4" t="s">
        <v>228</v>
      </c>
      <c r="D1822" s="4" t="s">
        <v>36</v>
      </c>
      <c r="E1822" s="4" t="s">
        <v>159</v>
      </c>
      <c r="F1822" s="4" t="s">
        <v>887</v>
      </c>
      <c r="G1822" s="4" t="s">
        <v>289</v>
      </c>
      <c r="H1822" s="6" t="s">
        <v>272</v>
      </c>
      <c r="I1822" s="4" t="s">
        <v>292</v>
      </c>
      <c r="J1822" s="4" t="s">
        <v>50</v>
      </c>
      <c r="K1822" s="4" t="s">
        <v>280</v>
      </c>
    </row>
    <row r="1823" spans="1:11" ht="15.75" hidden="1" customHeight="1" x14ac:dyDescent="0.2">
      <c r="B1823" s="4" t="s">
        <v>8</v>
      </c>
      <c r="C1823" s="4" t="s">
        <v>886</v>
      </c>
      <c r="D1823" s="4" t="s">
        <v>232</v>
      </c>
      <c r="E1823" s="4" t="s">
        <v>159</v>
      </c>
      <c r="F1823" s="4" t="s">
        <v>885</v>
      </c>
      <c r="G1823" s="7" t="s">
        <v>11</v>
      </c>
      <c r="H1823" s="6" t="s">
        <v>11</v>
      </c>
      <c r="I1823" s="4" t="s">
        <v>10</v>
      </c>
      <c r="J1823" s="4" t="s">
        <v>9</v>
      </c>
      <c r="K1823" s="4" t="s">
        <v>0</v>
      </c>
    </row>
    <row r="1824" spans="1:11" ht="15.75" hidden="1" customHeight="1" x14ac:dyDescent="0.2">
      <c r="B1824" s="4" t="s">
        <v>8</v>
      </c>
      <c r="C1824" s="4" t="s">
        <v>626</v>
      </c>
      <c r="D1824" s="4" t="s">
        <v>236</v>
      </c>
      <c r="E1824" s="4" t="s">
        <v>5</v>
      </c>
      <c r="F1824" s="4" t="s">
        <v>884</v>
      </c>
      <c r="G1824" s="7" t="str">
        <f>HYPERLINK("https://www.facebook.com/groups/goapetlife/permalink/1337824252984200/","Social media")</f>
        <v>Social media</v>
      </c>
      <c r="H1824" s="6" t="s">
        <v>11</v>
      </c>
      <c r="I1824" s="4" t="s">
        <v>2</v>
      </c>
      <c r="J1824" s="4" t="s">
        <v>15</v>
      </c>
      <c r="K1824" s="4" t="s">
        <v>0</v>
      </c>
    </row>
    <row r="1825" spans="1:11" ht="15.75" hidden="1" customHeight="1" x14ac:dyDescent="0.2">
      <c r="B1825" s="4" t="s">
        <v>8</v>
      </c>
      <c r="C1825" s="4" t="s">
        <v>228</v>
      </c>
      <c r="D1825" s="4" t="s">
        <v>36</v>
      </c>
      <c r="E1825" s="4" t="s">
        <v>5</v>
      </c>
      <c r="F1825" s="4" t="s">
        <v>883</v>
      </c>
      <c r="G1825" s="4" t="s">
        <v>273</v>
      </c>
      <c r="H1825" s="6" t="s">
        <v>272</v>
      </c>
      <c r="I1825" s="4" t="s">
        <v>2</v>
      </c>
      <c r="J1825" s="4" t="s">
        <v>15</v>
      </c>
      <c r="K1825" s="4" t="s">
        <v>0</v>
      </c>
    </row>
    <row r="1826" spans="1:11" ht="15.75" hidden="1" customHeight="1" x14ac:dyDescent="0.2">
      <c r="B1826" s="4" t="s">
        <v>8</v>
      </c>
      <c r="C1826" s="4" t="s">
        <v>228</v>
      </c>
      <c r="D1826" s="4" t="s">
        <v>36</v>
      </c>
      <c r="E1826" s="4" t="s">
        <v>159</v>
      </c>
      <c r="F1826" s="4" t="s">
        <v>882</v>
      </c>
      <c r="G1826" s="4" t="s">
        <v>289</v>
      </c>
      <c r="H1826" s="6" t="s">
        <v>272</v>
      </c>
      <c r="I1826" s="4" t="s">
        <v>292</v>
      </c>
      <c r="J1826" s="4" t="s">
        <v>50</v>
      </c>
      <c r="K1826" s="4" t="s">
        <v>518</v>
      </c>
    </row>
    <row r="1827" spans="1:11" ht="15.75" hidden="1" customHeight="1" x14ac:dyDescent="0.2">
      <c r="B1827" s="4" t="s">
        <v>8</v>
      </c>
      <c r="C1827" s="4" t="s">
        <v>150</v>
      </c>
      <c r="D1827" s="4" t="s">
        <v>150</v>
      </c>
      <c r="E1827" s="4" t="s">
        <v>17</v>
      </c>
      <c r="F1827" s="4" t="s">
        <v>881</v>
      </c>
      <c r="G1827" s="7" t="s">
        <v>11</v>
      </c>
      <c r="H1827" s="6" t="s">
        <v>11</v>
      </c>
      <c r="I1827" s="4" t="s">
        <v>10</v>
      </c>
      <c r="J1827" s="4" t="s">
        <v>15</v>
      </c>
      <c r="K1827" s="4" t="s">
        <v>0</v>
      </c>
    </row>
    <row r="1828" spans="1:11" ht="15.75" customHeight="1" x14ac:dyDescent="0.2">
      <c r="A1828" s="1">
        <v>135</v>
      </c>
      <c r="B1828" s="4" t="s">
        <v>8</v>
      </c>
      <c r="C1828" s="4"/>
      <c r="D1828" s="4" t="s">
        <v>97</v>
      </c>
      <c r="E1828" s="4" t="s">
        <v>5</v>
      </c>
      <c r="F1828" s="4" t="s">
        <v>880</v>
      </c>
      <c r="G1828" s="7" t="str">
        <f>HYPERLINK("https://www.thesun.co.uk/news/6266077/bear-beaten-to-death-india-orissa-selfie-video/","News")</f>
        <v>News</v>
      </c>
      <c r="H1828" s="6" t="s">
        <v>3</v>
      </c>
      <c r="I1828" s="4" t="s">
        <v>86</v>
      </c>
      <c r="J1828" s="4" t="s">
        <v>20</v>
      </c>
      <c r="K1828" s="4" t="s">
        <v>879</v>
      </c>
    </row>
    <row r="1829" spans="1:11" ht="15.75" hidden="1" customHeight="1" x14ac:dyDescent="0.2">
      <c r="B1829" s="4" t="s">
        <v>8</v>
      </c>
      <c r="C1829" s="4" t="s">
        <v>878</v>
      </c>
      <c r="D1829" s="4" t="s">
        <v>877</v>
      </c>
      <c r="E1829" s="4" t="s">
        <v>17</v>
      </c>
      <c r="F1829" s="4" t="s">
        <v>876</v>
      </c>
      <c r="G1829" s="7" t="str">
        <f>HYPERLINK("https://www.facebook.com/watch/?v=1858709277484099","Social media")</f>
        <v>Social media</v>
      </c>
      <c r="H1829" s="6" t="s">
        <v>11</v>
      </c>
      <c r="I1829" s="4" t="s">
        <v>10</v>
      </c>
      <c r="J1829" s="4" t="s">
        <v>15</v>
      </c>
      <c r="K1829" s="4" t="s">
        <v>0</v>
      </c>
    </row>
    <row r="1830" spans="1:11" ht="15.75" hidden="1" customHeight="1" x14ac:dyDescent="0.2">
      <c r="B1830" s="4" t="s">
        <v>8</v>
      </c>
      <c r="C1830" s="4" t="s">
        <v>228</v>
      </c>
      <c r="D1830" s="4" t="s">
        <v>36</v>
      </c>
      <c r="E1830" s="4" t="s">
        <v>5</v>
      </c>
      <c r="F1830" s="4" t="s">
        <v>875</v>
      </c>
      <c r="G1830" s="4" t="s">
        <v>329</v>
      </c>
      <c r="H1830" s="6" t="s">
        <v>272</v>
      </c>
      <c r="I1830" s="4" t="s">
        <v>10</v>
      </c>
      <c r="J1830" s="4" t="s">
        <v>20</v>
      </c>
      <c r="K1830" s="4" t="s">
        <v>0</v>
      </c>
    </row>
    <row r="1831" spans="1:11" ht="15.75" hidden="1" customHeight="1" x14ac:dyDescent="0.2">
      <c r="B1831" s="4" t="s">
        <v>8</v>
      </c>
      <c r="C1831" s="4" t="s">
        <v>228</v>
      </c>
      <c r="D1831" s="4" t="s">
        <v>36</v>
      </c>
      <c r="E1831" s="4" t="s">
        <v>159</v>
      </c>
      <c r="F1831" s="4" t="s">
        <v>874</v>
      </c>
      <c r="G1831" s="4" t="s">
        <v>289</v>
      </c>
      <c r="H1831" s="6" t="s">
        <v>272</v>
      </c>
      <c r="I1831" s="4" t="s">
        <v>281</v>
      </c>
      <c r="J1831" s="4" t="s">
        <v>50</v>
      </c>
      <c r="K1831" s="4" t="s">
        <v>873</v>
      </c>
    </row>
    <row r="1832" spans="1:11" ht="15.75" hidden="1" customHeight="1" x14ac:dyDescent="0.2">
      <c r="B1832" s="4" t="s">
        <v>8</v>
      </c>
      <c r="C1832" s="4" t="s">
        <v>228</v>
      </c>
      <c r="D1832" s="4" t="s">
        <v>36</v>
      </c>
      <c r="E1832" s="4" t="s">
        <v>17</v>
      </c>
      <c r="F1832" s="4" t="s">
        <v>872</v>
      </c>
      <c r="G1832" s="4" t="s">
        <v>273</v>
      </c>
      <c r="H1832" s="6" t="s">
        <v>272</v>
      </c>
      <c r="I1832" s="4" t="s">
        <v>10</v>
      </c>
      <c r="J1832" s="4" t="s">
        <v>15</v>
      </c>
      <c r="K1832" s="4" t="s">
        <v>0</v>
      </c>
    </row>
    <row r="1833" spans="1:11" ht="15.75" hidden="1" customHeight="1" x14ac:dyDescent="0.2">
      <c r="B1833" s="4" t="s">
        <v>8</v>
      </c>
      <c r="C1833" s="4" t="s">
        <v>871</v>
      </c>
      <c r="D1833" s="4" t="s">
        <v>36</v>
      </c>
      <c r="E1833" s="4" t="s">
        <v>159</v>
      </c>
      <c r="F1833" s="4" t="s">
        <v>870</v>
      </c>
      <c r="G1833" s="4" t="s">
        <v>289</v>
      </c>
      <c r="H1833" s="6" t="s">
        <v>272</v>
      </c>
      <c r="I1833" s="4" t="s">
        <v>2</v>
      </c>
      <c r="J1833" s="4" t="s">
        <v>50</v>
      </c>
      <c r="K1833" s="4" t="s">
        <v>280</v>
      </c>
    </row>
    <row r="1834" spans="1:11" ht="15.75" hidden="1" customHeight="1" x14ac:dyDescent="0.2">
      <c r="B1834" s="4" t="s">
        <v>8</v>
      </c>
      <c r="C1834" s="4" t="s">
        <v>150</v>
      </c>
      <c r="D1834" s="4" t="s">
        <v>150</v>
      </c>
      <c r="E1834" s="4" t="s">
        <v>23</v>
      </c>
      <c r="F1834" s="4" t="s">
        <v>869</v>
      </c>
      <c r="G1834" s="7" t="s">
        <v>11</v>
      </c>
      <c r="H1834" s="6" t="s">
        <v>11</v>
      </c>
      <c r="I1834" s="4" t="s">
        <v>10</v>
      </c>
      <c r="J1834" s="4" t="s">
        <v>20</v>
      </c>
      <c r="K1834" s="4" t="s">
        <v>0</v>
      </c>
    </row>
    <row r="1835" spans="1:11" ht="15.75" hidden="1" customHeight="1" x14ac:dyDescent="0.2">
      <c r="B1835" s="4" t="s">
        <v>8</v>
      </c>
      <c r="C1835" s="4" t="s">
        <v>566</v>
      </c>
      <c r="D1835" s="4" t="s">
        <v>42</v>
      </c>
      <c r="E1835" s="4" t="s">
        <v>23</v>
      </c>
      <c r="F1835" s="4" t="s">
        <v>868</v>
      </c>
      <c r="G1835" s="7" t="s">
        <v>11</v>
      </c>
      <c r="H1835" s="6" t="s">
        <v>11</v>
      </c>
      <c r="I1835" s="4" t="s">
        <v>10</v>
      </c>
      <c r="J1835" s="4" t="s">
        <v>20</v>
      </c>
      <c r="K1835" s="4" t="s">
        <v>0</v>
      </c>
    </row>
    <row r="1836" spans="1:11" ht="15.75" hidden="1" customHeight="1" x14ac:dyDescent="0.2">
      <c r="B1836" s="4" t="s">
        <v>8</v>
      </c>
      <c r="C1836" s="4" t="s">
        <v>271</v>
      </c>
      <c r="D1836" s="4" t="s">
        <v>94</v>
      </c>
      <c r="E1836" s="4" t="s">
        <v>17</v>
      </c>
      <c r="F1836" s="4" t="s">
        <v>867</v>
      </c>
      <c r="G1836" s="7" t="s">
        <v>11</v>
      </c>
      <c r="H1836" s="6" t="s">
        <v>11</v>
      </c>
      <c r="I1836" s="4" t="s">
        <v>10</v>
      </c>
      <c r="J1836" s="4" t="s">
        <v>15</v>
      </c>
      <c r="K1836" s="4" t="s">
        <v>57</v>
      </c>
    </row>
    <row r="1837" spans="1:11" ht="15.75" hidden="1" customHeight="1" x14ac:dyDescent="0.2">
      <c r="B1837" s="4" t="s">
        <v>8</v>
      </c>
      <c r="C1837" s="4" t="s">
        <v>89</v>
      </c>
      <c r="D1837" s="4" t="s">
        <v>88</v>
      </c>
      <c r="E1837" s="4" t="s">
        <v>5</v>
      </c>
      <c r="F1837" s="4" t="s">
        <v>866</v>
      </c>
      <c r="G1837" s="7" t="str">
        <f>HYPERLINK("https://www.facebook.com/arcKolkata63/posts/2002318336467938","Social media")</f>
        <v>Social media</v>
      </c>
      <c r="H1837" s="6" t="s">
        <v>11</v>
      </c>
      <c r="I1837" s="4" t="s">
        <v>2</v>
      </c>
      <c r="J1837" s="4" t="s">
        <v>82</v>
      </c>
      <c r="K1837" s="4" t="s">
        <v>0</v>
      </c>
    </row>
    <row r="1838" spans="1:11" ht="15.75" hidden="1" customHeight="1" x14ac:dyDescent="0.2">
      <c r="B1838" s="4" t="s">
        <v>8</v>
      </c>
      <c r="C1838" s="4" t="s">
        <v>382</v>
      </c>
      <c r="D1838" s="4" t="s">
        <v>77</v>
      </c>
      <c r="E1838" s="4" t="s">
        <v>5</v>
      </c>
      <c r="F1838" s="4" t="s">
        <v>865</v>
      </c>
      <c r="G1838" s="7" t="str">
        <f>HYPERLINK("https://www.facebook.com/watch/?v=10156615515717139","Social media")</f>
        <v>Social media</v>
      </c>
      <c r="H1838" s="6" t="s">
        <v>11</v>
      </c>
      <c r="I1838" s="4" t="s">
        <v>21</v>
      </c>
      <c r="J1838" s="4" t="s">
        <v>15</v>
      </c>
      <c r="K1838" s="4" t="s">
        <v>64</v>
      </c>
    </row>
    <row r="1839" spans="1:11" ht="15.75" hidden="1" customHeight="1" x14ac:dyDescent="0.2">
      <c r="B1839" s="4" t="s">
        <v>8</v>
      </c>
      <c r="C1839" s="4" t="s">
        <v>111</v>
      </c>
      <c r="D1839" s="4" t="s">
        <v>24</v>
      </c>
      <c r="E1839" s="4" t="s">
        <v>159</v>
      </c>
      <c r="F1839" s="4" t="s">
        <v>864</v>
      </c>
      <c r="G1839" s="7" t="s">
        <v>11</v>
      </c>
      <c r="H1839" s="6" t="s">
        <v>11</v>
      </c>
      <c r="I1839" s="4" t="s">
        <v>21</v>
      </c>
      <c r="J1839" s="4" t="s">
        <v>1</v>
      </c>
      <c r="K1839" s="4" t="s">
        <v>147</v>
      </c>
    </row>
    <row r="1840" spans="1:11" ht="15.75" hidden="1" customHeight="1" x14ac:dyDescent="0.2">
      <c r="B1840" s="4" t="s">
        <v>8</v>
      </c>
      <c r="C1840" s="4" t="s">
        <v>139</v>
      </c>
      <c r="D1840" s="4" t="s">
        <v>18</v>
      </c>
      <c r="E1840" s="4" t="s">
        <v>17</v>
      </c>
      <c r="F1840" s="4" t="s">
        <v>863</v>
      </c>
      <c r="G1840" s="7" t="str">
        <f>HYPERLINK("https://www.facebook.com/resqct/posts/10156278551151101","Social media")</f>
        <v>Social media</v>
      </c>
      <c r="H1840" s="6" t="s">
        <v>11</v>
      </c>
      <c r="I1840" s="4" t="s">
        <v>10</v>
      </c>
      <c r="J1840" s="4" t="s">
        <v>15</v>
      </c>
      <c r="K1840" s="4" t="s">
        <v>0</v>
      </c>
    </row>
    <row r="1841" spans="1:11" ht="15.75" hidden="1" customHeight="1" x14ac:dyDescent="0.2">
      <c r="B1841" s="4" t="s">
        <v>8</v>
      </c>
      <c r="C1841" s="4" t="s">
        <v>408</v>
      </c>
      <c r="D1841" s="4" t="s">
        <v>28</v>
      </c>
      <c r="E1841" s="4" t="s">
        <v>23</v>
      </c>
      <c r="F1841" s="4" t="s">
        <v>862</v>
      </c>
      <c r="G1841" s="7" t="s">
        <v>11</v>
      </c>
      <c r="H1841" s="6" t="s">
        <v>11</v>
      </c>
      <c r="I1841" s="4" t="s">
        <v>10</v>
      </c>
      <c r="J1841" s="4" t="s">
        <v>15</v>
      </c>
      <c r="K1841" s="4" t="s">
        <v>0</v>
      </c>
    </row>
    <row r="1842" spans="1:11" ht="15.75" hidden="1" customHeight="1" x14ac:dyDescent="0.2">
      <c r="B1842" s="4" t="s">
        <v>8</v>
      </c>
      <c r="C1842" s="4" t="s">
        <v>228</v>
      </c>
      <c r="D1842" s="4" t="s">
        <v>36</v>
      </c>
      <c r="E1842" s="4" t="s">
        <v>5</v>
      </c>
      <c r="F1842" s="4" t="s">
        <v>861</v>
      </c>
      <c r="G1842" s="4" t="s">
        <v>329</v>
      </c>
      <c r="H1842" s="6" t="s">
        <v>272</v>
      </c>
      <c r="I1842" s="4" t="s">
        <v>10</v>
      </c>
      <c r="J1842" s="4" t="s">
        <v>15</v>
      </c>
      <c r="K1842" s="4" t="s">
        <v>0</v>
      </c>
    </row>
    <row r="1843" spans="1:11" ht="15.75" customHeight="1" x14ac:dyDescent="0.2">
      <c r="A1843" s="1">
        <v>136</v>
      </c>
      <c r="B1843" s="4" t="s">
        <v>8</v>
      </c>
      <c r="C1843" s="4" t="s">
        <v>271</v>
      </c>
      <c r="D1843" s="4" t="s">
        <v>94</v>
      </c>
      <c r="E1843" s="4" t="s">
        <v>5</v>
      </c>
      <c r="F1843" s="4" t="s">
        <v>860</v>
      </c>
      <c r="G1843" s="7" t="s">
        <v>3</v>
      </c>
      <c r="H1843" s="6" t="s">
        <v>3</v>
      </c>
      <c r="I1843" s="4" t="s">
        <v>86</v>
      </c>
      <c r="J1843" s="4" t="s">
        <v>15</v>
      </c>
      <c r="K1843" s="4" t="s">
        <v>64</v>
      </c>
    </row>
    <row r="1844" spans="1:11" ht="15.75" customHeight="1" x14ac:dyDescent="0.2">
      <c r="A1844" s="1">
        <v>137</v>
      </c>
      <c r="B1844" s="4" t="s">
        <v>8</v>
      </c>
      <c r="C1844" s="4" t="s">
        <v>313</v>
      </c>
      <c r="D1844" s="4" t="s">
        <v>42</v>
      </c>
      <c r="E1844" s="4" t="s">
        <v>27</v>
      </c>
      <c r="F1844" s="4" t="s">
        <v>859</v>
      </c>
      <c r="G1844" s="7" t="s">
        <v>3</v>
      </c>
      <c r="H1844" s="6" t="s">
        <v>3</v>
      </c>
      <c r="I1844" s="4" t="s">
        <v>10</v>
      </c>
      <c r="J1844" s="4" t="s">
        <v>20</v>
      </c>
      <c r="K1844" s="4" t="s">
        <v>0</v>
      </c>
    </row>
    <row r="1845" spans="1:11" ht="15.75" customHeight="1" x14ac:dyDescent="0.2">
      <c r="A1845" s="1">
        <v>138</v>
      </c>
      <c r="B1845" s="4" t="s">
        <v>8</v>
      </c>
      <c r="C1845" s="4" t="s">
        <v>834</v>
      </c>
      <c r="D1845" s="4" t="s">
        <v>232</v>
      </c>
      <c r="E1845" s="4" t="s">
        <v>23</v>
      </c>
      <c r="F1845" s="4" t="s">
        <v>858</v>
      </c>
      <c r="G1845" s="7" t="s">
        <v>3</v>
      </c>
      <c r="H1845" s="6" t="s">
        <v>3</v>
      </c>
      <c r="I1845" s="4" t="s">
        <v>86</v>
      </c>
      <c r="J1845" s="4" t="s">
        <v>20</v>
      </c>
      <c r="K1845" s="4" t="s">
        <v>857</v>
      </c>
    </row>
    <row r="1846" spans="1:11" ht="15.75" hidden="1" customHeight="1" x14ac:dyDescent="0.2">
      <c r="B1846" s="4" t="s">
        <v>8</v>
      </c>
      <c r="C1846" s="4" t="s">
        <v>228</v>
      </c>
      <c r="D1846" s="4" t="s">
        <v>36</v>
      </c>
      <c r="E1846" s="4" t="s">
        <v>5</v>
      </c>
      <c r="F1846" s="4" t="s">
        <v>856</v>
      </c>
      <c r="G1846" s="4" t="s">
        <v>329</v>
      </c>
      <c r="H1846" s="6" t="s">
        <v>272</v>
      </c>
      <c r="I1846" s="4" t="s">
        <v>2</v>
      </c>
      <c r="J1846" s="4" t="s">
        <v>15</v>
      </c>
      <c r="K1846" s="4" t="s">
        <v>0</v>
      </c>
    </row>
    <row r="1847" spans="1:11" ht="15.75" hidden="1" customHeight="1" x14ac:dyDescent="0.2">
      <c r="B1847" s="4" t="s">
        <v>8</v>
      </c>
      <c r="C1847" s="4" t="s">
        <v>855</v>
      </c>
      <c r="D1847" s="4" t="s">
        <v>42</v>
      </c>
      <c r="E1847" s="4" t="s">
        <v>5</v>
      </c>
      <c r="F1847" s="4" t="s">
        <v>854</v>
      </c>
      <c r="G1847" s="7" t="s">
        <v>11</v>
      </c>
      <c r="H1847" s="6" t="s">
        <v>11</v>
      </c>
      <c r="I1847" s="4" t="s">
        <v>10</v>
      </c>
      <c r="J1847" s="4" t="s">
        <v>15</v>
      </c>
      <c r="K1847" s="4" t="s">
        <v>57</v>
      </c>
    </row>
    <row r="1848" spans="1:11" ht="15.75" hidden="1" customHeight="1" x14ac:dyDescent="0.2">
      <c r="B1848" s="4" t="s">
        <v>8</v>
      </c>
      <c r="C1848" s="4" t="s">
        <v>228</v>
      </c>
      <c r="D1848" s="4" t="s">
        <v>36</v>
      </c>
      <c r="E1848" s="4" t="s">
        <v>159</v>
      </c>
      <c r="F1848" s="4" t="s">
        <v>853</v>
      </c>
      <c r="G1848" s="4" t="s">
        <v>289</v>
      </c>
      <c r="H1848" s="6" t="s">
        <v>272</v>
      </c>
      <c r="I1848" s="4" t="s">
        <v>21</v>
      </c>
      <c r="J1848" s="4" t="s">
        <v>852</v>
      </c>
      <c r="K1848" s="4" t="s">
        <v>851</v>
      </c>
    </row>
    <row r="1849" spans="1:11" ht="15.75" hidden="1" customHeight="1" x14ac:dyDescent="0.2">
      <c r="B1849" s="4" t="s">
        <v>8</v>
      </c>
      <c r="C1849" s="4" t="s">
        <v>271</v>
      </c>
      <c r="D1849" s="4" t="s">
        <v>94</v>
      </c>
      <c r="E1849" s="4" t="s">
        <v>5</v>
      </c>
      <c r="F1849" s="4" t="s">
        <v>850</v>
      </c>
      <c r="G1849" s="6" t="s">
        <v>272</v>
      </c>
      <c r="H1849" s="6">
        <v>19</v>
      </c>
      <c r="I1849" s="4" t="s">
        <v>10</v>
      </c>
      <c r="J1849" s="4" t="s">
        <v>15</v>
      </c>
      <c r="K1849" s="4" t="s">
        <v>0</v>
      </c>
    </row>
    <row r="1850" spans="1:11" ht="15.75" hidden="1" customHeight="1" x14ac:dyDescent="0.2">
      <c r="B1850" s="4" t="s">
        <v>8</v>
      </c>
      <c r="C1850" s="4" t="s">
        <v>228</v>
      </c>
      <c r="D1850" s="4" t="s">
        <v>36</v>
      </c>
      <c r="E1850" s="4" t="s">
        <v>23</v>
      </c>
      <c r="F1850" s="4" t="s">
        <v>849</v>
      </c>
      <c r="G1850" s="4" t="s">
        <v>273</v>
      </c>
      <c r="H1850" s="6" t="s">
        <v>272</v>
      </c>
      <c r="I1850" s="4" t="s">
        <v>2</v>
      </c>
      <c r="J1850" s="4" t="s">
        <v>15</v>
      </c>
      <c r="K1850" s="4" t="s">
        <v>0</v>
      </c>
    </row>
    <row r="1851" spans="1:11" ht="15.75" customHeight="1" x14ac:dyDescent="0.2">
      <c r="A1851" s="1">
        <v>139</v>
      </c>
      <c r="B1851" s="4" t="s">
        <v>8</v>
      </c>
      <c r="C1851" s="4" t="s">
        <v>401</v>
      </c>
      <c r="D1851" s="4" t="s">
        <v>71</v>
      </c>
      <c r="E1851" s="4" t="s">
        <v>5</v>
      </c>
      <c r="F1851" s="4" t="s">
        <v>848</v>
      </c>
      <c r="G1851" s="7" t="s">
        <v>3</v>
      </c>
      <c r="H1851" s="6" t="s">
        <v>3</v>
      </c>
      <c r="I1851" s="4" t="s">
        <v>10</v>
      </c>
      <c r="J1851" s="4" t="s">
        <v>15</v>
      </c>
      <c r="K1851" s="4" t="s">
        <v>0</v>
      </c>
    </row>
    <row r="1852" spans="1:11" ht="15.75" hidden="1" customHeight="1" x14ac:dyDescent="0.2">
      <c r="B1852" s="4" t="s">
        <v>8</v>
      </c>
      <c r="C1852" s="4" t="s">
        <v>233</v>
      </c>
      <c r="D1852" s="4" t="s">
        <v>232</v>
      </c>
      <c r="E1852" s="4" t="s">
        <v>5</v>
      </c>
      <c r="F1852" s="4" t="s">
        <v>847</v>
      </c>
      <c r="G1852" s="7" t="s">
        <v>11</v>
      </c>
      <c r="H1852" s="6" t="s">
        <v>11</v>
      </c>
      <c r="I1852" s="4" t="s">
        <v>10</v>
      </c>
      <c r="J1852" s="4" t="s">
        <v>20</v>
      </c>
      <c r="K1852" s="4" t="s">
        <v>0</v>
      </c>
    </row>
    <row r="1853" spans="1:11" ht="15.75" hidden="1" customHeight="1" x14ac:dyDescent="0.2">
      <c r="B1853" s="4" t="s">
        <v>8</v>
      </c>
      <c r="C1853" s="4" t="s">
        <v>89</v>
      </c>
      <c r="D1853" s="4" t="s">
        <v>88</v>
      </c>
      <c r="E1853" s="4" t="s">
        <v>5</v>
      </c>
      <c r="F1853" s="4" t="s">
        <v>846</v>
      </c>
      <c r="G1853" s="7" t="s">
        <v>11</v>
      </c>
      <c r="H1853" s="6" t="s">
        <v>11</v>
      </c>
      <c r="I1853" s="4" t="s">
        <v>10</v>
      </c>
      <c r="J1853" s="4" t="s">
        <v>15</v>
      </c>
      <c r="K1853" s="4" t="s">
        <v>0</v>
      </c>
    </row>
    <row r="1854" spans="1:11" ht="15.75" hidden="1" customHeight="1" x14ac:dyDescent="0.2">
      <c r="B1854" s="4" t="s">
        <v>8</v>
      </c>
      <c r="C1854" s="4" t="s">
        <v>845</v>
      </c>
      <c r="D1854" s="4" t="s">
        <v>24</v>
      </c>
      <c r="E1854" s="4" t="s">
        <v>81</v>
      </c>
      <c r="F1854" s="4" t="s">
        <v>844</v>
      </c>
      <c r="G1854" s="4" t="s">
        <v>447</v>
      </c>
      <c r="H1854" s="6" t="s">
        <v>272</v>
      </c>
      <c r="I1854" s="4" t="s">
        <v>10</v>
      </c>
      <c r="J1854" s="4" t="s">
        <v>20</v>
      </c>
      <c r="K1854" s="4" t="s">
        <v>0</v>
      </c>
    </row>
    <row r="1855" spans="1:11" ht="15.75" hidden="1" customHeight="1" x14ac:dyDescent="0.2">
      <c r="B1855" s="4" t="s">
        <v>8</v>
      </c>
      <c r="C1855" s="4" t="s">
        <v>104</v>
      </c>
      <c r="D1855" s="4" t="s">
        <v>18</v>
      </c>
      <c r="E1855" s="4" t="s">
        <v>17</v>
      </c>
      <c r="F1855" s="4" t="s">
        <v>843</v>
      </c>
      <c r="G1855" s="4" t="s">
        <v>348</v>
      </c>
      <c r="H1855" s="6" t="s">
        <v>11</v>
      </c>
      <c r="I1855" s="4" t="s">
        <v>2</v>
      </c>
      <c r="J1855" s="4" t="s">
        <v>15</v>
      </c>
      <c r="K1855" s="4" t="s">
        <v>0</v>
      </c>
    </row>
    <row r="1856" spans="1:11" ht="15.75" hidden="1" customHeight="1" x14ac:dyDescent="0.2">
      <c r="B1856" s="4" t="s">
        <v>8</v>
      </c>
      <c r="C1856" s="4" t="s">
        <v>842</v>
      </c>
      <c r="D1856" s="4" t="s">
        <v>77</v>
      </c>
      <c r="E1856" s="4" t="s">
        <v>27</v>
      </c>
      <c r="F1856" s="4" t="s">
        <v>841</v>
      </c>
      <c r="G1856" s="7" t="str">
        <f>HYPERLINK("https://www.facebook.com/groups/indiaanimalforum/permalink/891867144228865/","Social media")</f>
        <v>Social media</v>
      </c>
      <c r="H1856" s="6" t="s">
        <v>11</v>
      </c>
      <c r="I1856" s="4" t="s">
        <v>21</v>
      </c>
      <c r="J1856" s="4" t="s">
        <v>1</v>
      </c>
      <c r="K1856" s="4" t="s">
        <v>840</v>
      </c>
    </row>
    <row r="1857" spans="1:11" ht="15.75" hidden="1" customHeight="1" x14ac:dyDescent="0.2">
      <c r="B1857" s="4" t="s">
        <v>8</v>
      </c>
      <c r="C1857" s="4" t="s">
        <v>839</v>
      </c>
      <c r="D1857" s="4" t="s">
        <v>88</v>
      </c>
      <c r="E1857" s="4" t="s">
        <v>5</v>
      </c>
      <c r="F1857" s="4" t="s">
        <v>838</v>
      </c>
      <c r="G1857" s="7" t="s">
        <v>11</v>
      </c>
      <c r="H1857" s="6" t="s">
        <v>11</v>
      </c>
      <c r="I1857" s="4" t="s">
        <v>10</v>
      </c>
      <c r="J1857" s="4" t="s">
        <v>15</v>
      </c>
      <c r="K1857" s="4" t="s">
        <v>0</v>
      </c>
    </row>
    <row r="1858" spans="1:11" ht="15.75" customHeight="1" x14ac:dyDescent="0.2">
      <c r="A1858" s="1">
        <v>140</v>
      </c>
      <c r="B1858" s="4" t="s">
        <v>8</v>
      </c>
      <c r="C1858" s="4" t="s">
        <v>89</v>
      </c>
      <c r="D1858" s="4" t="s">
        <v>88</v>
      </c>
      <c r="E1858" s="4" t="s">
        <v>81</v>
      </c>
      <c r="F1858" s="4" t="s">
        <v>837</v>
      </c>
      <c r="G1858" s="7" t="str">
        <f>HYPERLINK("https://www.newsbytesapp.com/timeline/India/27455/123473/kolkata-man-held-for-sexually-abusing-a-dog","News")</f>
        <v>News</v>
      </c>
      <c r="H1858" s="6" t="s">
        <v>3</v>
      </c>
      <c r="I1858" s="4" t="s">
        <v>10</v>
      </c>
      <c r="J1858" s="4" t="s">
        <v>82</v>
      </c>
      <c r="K1858" s="4" t="s">
        <v>0</v>
      </c>
    </row>
    <row r="1859" spans="1:11" ht="15.75" hidden="1" customHeight="1" x14ac:dyDescent="0.2">
      <c r="B1859" s="4" t="s">
        <v>8</v>
      </c>
      <c r="C1859" s="4" t="s">
        <v>104</v>
      </c>
      <c r="D1859" s="4" t="s">
        <v>18</v>
      </c>
      <c r="E1859" s="4" t="s">
        <v>159</v>
      </c>
      <c r="F1859" s="4" t="s">
        <v>836</v>
      </c>
      <c r="G1859" s="7" t="s">
        <v>11</v>
      </c>
      <c r="H1859" s="6" t="s">
        <v>11</v>
      </c>
      <c r="I1859" s="4" t="s">
        <v>10</v>
      </c>
      <c r="J1859" s="4" t="s">
        <v>15</v>
      </c>
      <c r="K1859" s="4" t="s">
        <v>0</v>
      </c>
    </row>
    <row r="1860" spans="1:11" ht="15.75" hidden="1" customHeight="1" x14ac:dyDescent="0.2">
      <c r="B1860" s="4" t="s">
        <v>8</v>
      </c>
      <c r="C1860" s="4" t="s">
        <v>228</v>
      </c>
      <c r="D1860" s="4" t="s">
        <v>36</v>
      </c>
      <c r="E1860" s="4" t="s">
        <v>159</v>
      </c>
      <c r="F1860" s="4" t="s">
        <v>835</v>
      </c>
      <c r="G1860" s="4" t="s">
        <v>329</v>
      </c>
      <c r="H1860" s="6" t="s">
        <v>272</v>
      </c>
      <c r="I1860" s="4" t="s">
        <v>2</v>
      </c>
      <c r="J1860" s="4" t="s">
        <v>1</v>
      </c>
      <c r="K1860" s="4" t="s">
        <v>0</v>
      </c>
    </row>
    <row r="1861" spans="1:11" ht="15.75" customHeight="1" x14ac:dyDescent="0.2">
      <c r="A1861" s="1">
        <v>141</v>
      </c>
      <c r="B1861" s="4" t="s">
        <v>8</v>
      </c>
      <c r="C1861" s="4" t="s">
        <v>834</v>
      </c>
      <c r="D1861" s="4" t="s">
        <v>232</v>
      </c>
      <c r="E1861" s="4" t="s">
        <v>27</v>
      </c>
      <c r="F1861" s="4" t="s">
        <v>833</v>
      </c>
      <c r="G1861" s="7" t="str">
        <f>HYPERLINK("https://www.ndtv.com/india-news/chhattisgarh-cops-allegedly-run-over-cow-arrested-after-video-goes-viral-1890309","News")</f>
        <v>News</v>
      </c>
      <c r="H1861" s="6" t="s">
        <v>3</v>
      </c>
      <c r="I1861" s="4" t="s">
        <v>10</v>
      </c>
      <c r="J1861" s="4" t="s">
        <v>15</v>
      </c>
      <c r="K1861" s="4" t="s">
        <v>57</v>
      </c>
    </row>
    <row r="1862" spans="1:11" ht="15.75" hidden="1" customHeight="1" x14ac:dyDescent="0.2">
      <c r="B1862" s="4" t="s">
        <v>8</v>
      </c>
      <c r="C1862" s="4" t="s">
        <v>527</v>
      </c>
      <c r="D1862" s="4" t="s">
        <v>18</v>
      </c>
      <c r="E1862" s="4" t="s">
        <v>17</v>
      </c>
      <c r="F1862" s="4" t="s">
        <v>832</v>
      </c>
      <c r="G1862" s="7" t="s">
        <v>11</v>
      </c>
      <c r="H1862" s="6" t="s">
        <v>11</v>
      </c>
      <c r="I1862" s="4" t="s">
        <v>10</v>
      </c>
      <c r="J1862" s="4" t="s">
        <v>15</v>
      </c>
      <c r="K1862" s="4" t="s">
        <v>0</v>
      </c>
    </row>
    <row r="1863" spans="1:11" ht="15.75" hidden="1" customHeight="1" x14ac:dyDescent="0.2">
      <c r="B1863" s="4" t="s">
        <v>8</v>
      </c>
      <c r="C1863" s="4" t="s">
        <v>831</v>
      </c>
      <c r="D1863" s="4" t="s">
        <v>236</v>
      </c>
      <c r="E1863" s="4" t="s">
        <v>17</v>
      </c>
      <c r="F1863" s="4" t="s">
        <v>830</v>
      </c>
      <c r="G1863" s="7" t="str">
        <f>HYPERLINK("https://www.facebook.com/groups/goapetlife/permalink/1421054961327795/","Social media")</f>
        <v>Social media</v>
      </c>
      <c r="H1863" s="6" t="s">
        <v>11</v>
      </c>
      <c r="I1863" s="4" t="s">
        <v>10</v>
      </c>
      <c r="J1863" s="4" t="s">
        <v>15</v>
      </c>
      <c r="K1863" s="4" t="s">
        <v>0</v>
      </c>
    </row>
    <row r="1864" spans="1:11" ht="15.75" customHeight="1" x14ac:dyDescent="0.2">
      <c r="A1864" s="1">
        <v>142</v>
      </c>
      <c r="B1864" s="4" t="s">
        <v>8</v>
      </c>
      <c r="C1864" s="4" t="s">
        <v>574</v>
      </c>
      <c r="D1864" s="4" t="s">
        <v>236</v>
      </c>
      <c r="E1864" s="4" t="s">
        <v>27</v>
      </c>
      <c r="F1864" s="4" t="s">
        <v>829</v>
      </c>
      <c r="G1864" s="7" t="str">
        <f>HYPERLINK("https://www.thehindu.com/news/national/other-states/female-dog-brutalised-in-goa-alleges-humane-society/article24564647.ece","News")</f>
        <v>News</v>
      </c>
      <c r="H1864" s="6" t="s">
        <v>3</v>
      </c>
      <c r="I1864" s="4" t="s">
        <v>10</v>
      </c>
      <c r="J1864" s="4" t="s">
        <v>82</v>
      </c>
      <c r="K1864" s="4" t="s">
        <v>0</v>
      </c>
    </row>
    <row r="1865" spans="1:11" ht="15.75" hidden="1" customHeight="1" x14ac:dyDescent="0.2">
      <c r="B1865" s="4" t="s">
        <v>8</v>
      </c>
      <c r="C1865" s="4" t="s">
        <v>287</v>
      </c>
      <c r="D1865" s="4" t="s">
        <v>236</v>
      </c>
      <c r="E1865" s="4" t="s">
        <v>5</v>
      </c>
      <c r="F1865" s="4" t="s">
        <v>828</v>
      </c>
      <c r="G1865" s="4" t="s">
        <v>348</v>
      </c>
      <c r="H1865" s="6" t="s">
        <v>11</v>
      </c>
      <c r="I1865" s="4" t="s">
        <v>2</v>
      </c>
      <c r="J1865" s="4" t="s">
        <v>15</v>
      </c>
      <c r="K1865" s="4" t="s">
        <v>0</v>
      </c>
    </row>
    <row r="1866" spans="1:11" ht="15.75" hidden="1" customHeight="1" x14ac:dyDescent="0.2">
      <c r="B1866" s="4" t="s">
        <v>8</v>
      </c>
      <c r="C1866" s="4" t="s">
        <v>111</v>
      </c>
      <c r="D1866" s="4" t="s">
        <v>24</v>
      </c>
      <c r="E1866" s="4" t="s">
        <v>5</v>
      </c>
      <c r="F1866" s="4" t="s">
        <v>827</v>
      </c>
      <c r="G1866" s="7" t="s">
        <v>11</v>
      </c>
      <c r="H1866" s="6" t="s">
        <v>11</v>
      </c>
      <c r="I1866" s="4" t="s">
        <v>10</v>
      </c>
      <c r="J1866" s="4" t="s">
        <v>15</v>
      </c>
      <c r="K1866" s="4" t="s">
        <v>0</v>
      </c>
    </row>
    <row r="1867" spans="1:11" ht="15.75" hidden="1" customHeight="1" x14ac:dyDescent="0.2">
      <c r="B1867" s="4" t="s">
        <v>8</v>
      </c>
      <c r="C1867" s="4" t="s">
        <v>271</v>
      </c>
      <c r="D1867" s="4" t="s">
        <v>94</v>
      </c>
      <c r="E1867" s="4" t="s">
        <v>17</v>
      </c>
      <c r="F1867" s="4" t="s">
        <v>826</v>
      </c>
      <c r="G1867" s="7" t="s">
        <v>11</v>
      </c>
      <c r="H1867" s="6" t="s">
        <v>11</v>
      </c>
      <c r="I1867" s="4" t="s">
        <v>10</v>
      </c>
      <c r="J1867" s="4" t="s">
        <v>15</v>
      </c>
      <c r="K1867" s="4" t="s">
        <v>0</v>
      </c>
    </row>
    <row r="1868" spans="1:11" ht="15.75" customHeight="1" x14ac:dyDescent="0.2">
      <c r="A1868" s="1">
        <v>143</v>
      </c>
      <c r="B1868" s="4" t="s">
        <v>8</v>
      </c>
      <c r="C1868" s="4" t="s">
        <v>150</v>
      </c>
      <c r="D1868" s="4" t="s">
        <v>150</v>
      </c>
      <c r="E1868" s="4" t="s">
        <v>27</v>
      </c>
      <c r="F1868" s="4" t="s">
        <v>825</v>
      </c>
      <c r="G1868" s="7" t="s">
        <v>3</v>
      </c>
      <c r="H1868" s="6" t="s">
        <v>3</v>
      </c>
      <c r="I1868" s="4" t="s">
        <v>10</v>
      </c>
      <c r="J1868" s="4" t="s">
        <v>15</v>
      </c>
      <c r="K1868" s="4" t="s">
        <v>0</v>
      </c>
    </row>
    <row r="1869" spans="1:11" ht="15.75" customHeight="1" x14ac:dyDescent="0.2">
      <c r="A1869" s="1">
        <v>144</v>
      </c>
      <c r="B1869" s="4" t="s">
        <v>8</v>
      </c>
      <c r="C1869" s="4" t="s">
        <v>824</v>
      </c>
      <c r="D1869" s="4" t="s">
        <v>71</v>
      </c>
      <c r="E1869" s="4" t="s">
        <v>27</v>
      </c>
      <c r="F1869" s="4" t="s">
        <v>823</v>
      </c>
      <c r="G1869" s="7" t="str">
        <f>HYPERLINK("https://www.hindustantimes.com/india-news/pregnant-goat-dies-after-being-gangraped-by-8-men-in-haryana/story-JlFvxZgoPAePsZ4SVz7RbJ.html","News")</f>
        <v>News</v>
      </c>
      <c r="H1869" s="6" t="s">
        <v>3</v>
      </c>
      <c r="I1869" s="4" t="s">
        <v>109</v>
      </c>
      <c r="J1869" s="4" t="s">
        <v>82</v>
      </c>
      <c r="K1869" s="4" t="s">
        <v>432</v>
      </c>
    </row>
    <row r="1870" spans="1:11" ht="15.75" hidden="1" customHeight="1" x14ac:dyDescent="0.2">
      <c r="B1870" s="4" t="s">
        <v>8</v>
      </c>
      <c r="C1870" s="4" t="s">
        <v>139</v>
      </c>
      <c r="D1870" s="4" t="s">
        <v>18</v>
      </c>
      <c r="E1870" s="4" t="s">
        <v>17</v>
      </c>
      <c r="F1870" s="4" t="s">
        <v>822</v>
      </c>
      <c r="G1870" s="7" t="str">
        <f>HYPERLINK("https://www.facebook.com/resqct/posts/10156407286486101","Social media")</f>
        <v>Social media</v>
      </c>
      <c r="H1870" s="6" t="s">
        <v>11</v>
      </c>
      <c r="I1870" s="4" t="s">
        <v>10</v>
      </c>
      <c r="J1870" s="4" t="s">
        <v>20</v>
      </c>
      <c r="K1870" s="4" t="s">
        <v>0</v>
      </c>
    </row>
    <row r="1871" spans="1:11" ht="15.75" hidden="1" customHeight="1" x14ac:dyDescent="0.2">
      <c r="B1871" s="4" t="s">
        <v>8</v>
      </c>
      <c r="C1871" s="4" t="s">
        <v>594</v>
      </c>
      <c r="D1871" s="4" t="s">
        <v>66</v>
      </c>
      <c r="E1871" s="4" t="s">
        <v>17</v>
      </c>
      <c r="F1871" s="4" t="s">
        <v>821</v>
      </c>
      <c r="G1871" s="7" t="str">
        <f>HYPERLINK("https://www.facebook.com/pfakollam/videos/vb.840811579305912/1776614455725615/?type=2&amp;theater","Social media")</f>
        <v>Social media</v>
      </c>
      <c r="H1871" s="6" t="s">
        <v>11</v>
      </c>
      <c r="I1871" s="4" t="s">
        <v>10</v>
      </c>
      <c r="J1871" s="4" t="s">
        <v>15</v>
      </c>
      <c r="K1871" s="4" t="s">
        <v>0</v>
      </c>
    </row>
    <row r="1872" spans="1:11" ht="15.75" customHeight="1" x14ac:dyDescent="0.2">
      <c r="A1872" s="1">
        <v>145</v>
      </c>
      <c r="B1872" s="4" t="s">
        <v>8</v>
      </c>
      <c r="C1872" s="4" t="s">
        <v>150</v>
      </c>
      <c r="D1872" s="4" t="s">
        <v>150</v>
      </c>
      <c r="E1872" s="4" t="s">
        <v>5</v>
      </c>
      <c r="F1872" s="4" t="s">
        <v>820</v>
      </c>
      <c r="G1872" s="7" t="s">
        <v>3</v>
      </c>
      <c r="H1872" s="6" t="s">
        <v>3</v>
      </c>
      <c r="I1872" s="4" t="s">
        <v>2</v>
      </c>
      <c r="J1872" s="4" t="s">
        <v>20</v>
      </c>
      <c r="K1872" s="4" t="s">
        <v>75</v>
      </c>
    </row>
    <row r="1873" spans="1:11" ht="15.75" hidden="1" customHeight="1" x14ac:dyDescent="0.2">
      <c r="B1873" s="4" t="s">
        <v>8</v>
      </c>
      <c r="C1873" s="4" t="s">
        <v>228</v>
      </c>
      <c r="D1873" s="4" t="s">
        <v>36</v>
      </c>
      <c r="E1873" s="4" t="s">
        <v>159</v>
      </c>
      <c r="F1873" s="4" t="s">
        <v>819</v>
      </c>
      <c r="G1873" s="4" t="s">
        <v>289</v>
      </c>
      <c r="H1873" s="6" t="s">
        <v>272</v>
      </c>
      <c r="I1873" s="4" t="s">
        <v>281</v>
      </c>
      <c r="J1873" s="4" t="s">
        <v>50</v>
      </c>
      <c r="K1873" s="4" t="s">
        <v>280</v>
      </c>
    </row>
    <row r="1874" spans="1:11" ht="15.75" hidden="1" customHeight="1" x14ac:dyDescent="0.2">
      <c r="B1874" s="4" t="s">
        <v>8</v>
      </c>
      <c r="C1874" s="4" t="s">
        <v>228</v>
      </c>
      <c r="D1874" s="4" t="s">
        <v>36</v>
      </c>
      <c r="E1874" s="4" t="s">
        <v>159</v>
      </c>
      <c r="F1874" s="4" t="s">
        <v>818</v>
      </c>
      <c r="G1874" s="4" t="s">
        <v>289</v>
      </c>
      <c r="H1874" s="6" t="s">
        <v>272</v>
      </c>
      <c r="I1874" s="4" t="s">
        <v>614</v>
      </c>
      <c r="J1874" s="4" t="s">
        <v>50</v>
      </c>
      <c r="K1874" s="4" t="s">
        <v>280</v>
      </c>
    </row>
    <row r="1875" spans="1:11" ht="15.75" hidden="1" customHeight="1" x14ac:dyDescent="0.2">
      <c r="B1875" s="4" t="s">
        <v>8</v>
      </c>
      <c r="C1875" s="4" t="s">
        <v>150</v>
      </c>
      <c r="D1875" s="4" t="s">
        <v>150</v>
      </c>
      <c r="E1875" s="4" t="s">
        <v>55</v>
      </c>
      <c r="F1875" s="4" t="s">
        <v>817</v>
      </c>
      <c r="G1875" s="7" t="s">
        <v>11</v>
      </c>
      <c r="H1875" s="6" t="s">
        <v>11</v>
      </c>
      <c r="I1875" s="4" t="s">
        <v>197</v>
      </c>
      <c r="J1875" s="4" t="s">
        <v>1</v>
      </c>
      <c r="K1875" s="4" t="s">
        <v>367</v>
      </c>
    </row>
    <row r="1876" spans="1:11" ht="15.75" hidden="1" customHeight="1" x14ac:dyDescent="0.2">
      <c r="B1876" s="4" t="s">
        <v>8</v>
      </c>
      <c r="C1876" s="4" t="s">
        <v>816</v>
      </c>
      <c r="D1876" s="4" t="s">
        <v>36</v>
      </c>
      <c r="E1876" s="4" t="s">
        <v>159</v>
      </c>
      <c r="F1876" s="4" t="s">
        <v>815</v>
      </c>
      <c r="G1876" s="4" t="s">
        <v>289</v>
      </c>
      <c r="H1876" s="6" t="s">
        <v>272</v>
      </c>
      <c r="I1876" s="4" t="s">
        <v>281</v>
      </c>
      <c r="J1876" s="4" t="s">
        <v>814</v>
      </c>
      <c r="K1876" s="4" t="s">
        <v>280</v>
      </c>
    </row>
    <row r="1877" spans="1:11" ht="15.75" customHeight="1" x14ac:dyDescent="0.2">
      <c r="A1877" s="1">
        <v>146</v>
      </c>
      <c r="B1877" s="4" t="s">
        <v>8</v>
      </c>
      <c r="C1877" s="4" t="s">
        <v>813</v>
      </c>
      <c r="D1877" s="4" t="s">
        <v>210</v>
      </c>
      <c r="E1877" s="4" t="s">
        <v>23</v>
      </c>
      <c r="F1877" s="4" t="s">
        <v>812</v>
      </c>
      <c r="G1877" s="7" t="str">
        <f>HYPERLINK("https://timesofindia.indiatimes.com/videos/city/bhopal/80-yr-old-man-arrested-for-allegedly-raping-a-cow-in-madhya-pradeshs-rajgarh/videoshow/65301300.cms","News")</f>
        <v>News</v>
      </c>
      <c r="H1877" s="6" t="s">
        <v>3</v>
      </c>
      <c r="I1877" s="4" t="s">
        <v>109</v>
      </c>
      <c r="J1877" s="4" t="s">
        <v>82</v>
      </c>
      <c r="K1877" s="4" t="s">
        <v>57</v>
      </c>
    </row>
    <row r="1878" spans="1:11" ht="15.75" hidden="1" customHeight="1" x14ac:dyDescent="0.2">
      <c r="B1878" s="4" t="s">
        <v>8</v>
      </c>
      <c r="C1878" s="4" t="s">
        <v>228</v>
      </c>
      <c r="D1878" s="4" t="s">
        <v>36</v>
      </c>
      <c r="E1878" s="4" t="s">
        <v>5</v>
      </c>
      <c r="F1878" s="4" t="s">
        <v>811</v>
      </c>
      <c r="G1878" s="4" t="s">
        <v>273</v>
      </c>
      <c r="H1878" s="6" t="s">
        <v>272</v>
      </c>
      <c r="I1878" s="4" t="s">
        <v>10</v>
      </c>
      <c r="J1878" s="4" t="s">
        <v>15</v>
      </c>
      <c r="K1878" s="4" t="s">
        <v>0</v>
      </c>
    </row>
    <row r="1879" spans="1:11" ht="15.75" hidden="1" customHeight="1" x14ac:dyDescent="0.2">
      <c r="B1879" s="4" t="s">
        <v>8</v>
      </c>
      <c r="C1879" s="4" t="s">
        <v>150</v>
      </c>
      <c r="D1879" s="4" t="s">
        <v>150</v>
      </c>
      <c r="E1879" s="4" t="s">
        <v>23</v>
      </c>
      <c r="F1879" s="4" t="s">
        <v>810</v>
      </c>
      <c r="G1879" s="7" t="s">
        <v>11</v>
      </c>
      <c r="H1879" s="6" t="s">
        <v>11</v>
      </c>
      <c r="I1879" s="4" t="s">
        <v>10</v>
      </c>
      <c r="J1879" s="4" t="s">
        <v>15</v>
      </c>
      <c r="K1879" s="4" t="s">
        <v>0</v>
      </c>
    </row>
    <row r="1880" spans="1:11" ht="15.75" hidden="1" customHeight="1" x14ac:dyDescent="0.2">
      <c r="B1880" s="4" t="s">
        <v>8</v>
      </c>
      <c r="C1880" s="4" t="s">
        <v>228</v>
      </c>
      <c r="D1880" s="4" t="s">
        <v>36</v>
      </c>
      <c r="E1880" s="4" t="s">
        <v>23</v>
      </c>
      <c r="F1880" s="4" t="s">
        <v>809</v>
      </c>
      <c r="G1880" s="4" t="s">
        <v>273</v>
      </c>
      <c r="H1880" s="6" t="s">
        <v>272</v>
      </c>
      <c r="I1880" s="4" t="s">
        <v>10</v>
      </c>
      <c r="J1880" s="4" t="s">
        <v>15</v>
      </c>
      <c r="K1880" s="4" t="s">
        <v>0</v>
      </c>
    </row>
    <row r="1881" spans="1:11" ht="15.75" hidden="1" customHeight="1" x14ac:dyDescent="0.2">
      <c r="B1881" s="4" t="s">
        <v>8</v>
      </c>
      <c r="C1881" s="4" t="s">
        <v>95</v>
      </c>
      <c r="D1881" s="4" t="s">
        <v>94</v>
      </c>
      <c r="E1881" s="4" t="s">
        <v>5</v>
      </c>
      <c r="F1881" s="4" t="s">
        <v>808</v>
      </c>
      <c r="G1881" s="7" t="s">
        <v>11</v>
      </c>
      <c r="H1881" s="6" t="s">
        <v>11</v>
      </c>
      <c r="I1881" s="4" t="s">
        <v>807</v>
      </c>
      <c r="J1881" s="4" t="s">
        <v>15</v>
      </c>
      <c r="K1881" s="4" t="s">
        <v>57</v>
      </c>
    </row>
    <row r="1882" spans="1:11" ht="15.75" hidden="1" customHeight="1" x14ac:dyDescent="0.2">
      <c r="B1882" s="4" t="s">
        <v>8</v>
      </c>
      <c r="C1882" s="4" t="s">
        <v>806</v>
      </c>
      <c r="D1882" s="4" t="s">
        <v>236</v>
      </c>
      <c r="E1882" s="4" t="s">
        <v>17</v>
      </c>
      <c r="F1882" s="4" t="s">
        <v>805</v>
      </c>
      <c r="G1882" s="7" t="str">
        <f>HYPERLINK("https://www.facebook.com/groups/goapetlife/permalink/1462698177163473/","Social media")</f>
        <v>Social media</v>
      </c>
      <c r="H1882" s="6" t="s">
        <v>11</v>
      </c>
      <c r="I1882" s="4" t="s">
        <v>10</v>
      </c>
      <c r="J1882" s="4" t="s">
        <v>20</v>
      </c>
      <c r="K1882" s="4" t="s">
        <v>0</v>
      </c>
    </row>
    <row r="1883" spans="1:11" ht="15.75" customHeight="1" x14ac:dyDescent="0.2">
      <c r="A1883" s="1">
        <v>147</v>
      </c>
      <c r="B1883" s="4" t="s">
        <v>8</v>
      </c>
      <c r="C1883" s="4" t="s">
        <v>804</v>
      </c>
      <c r="D1883" s="4" t="s">
        <v>18</v>
      </c>
      <c r="E1883" s="4" t="s">
        <v>27</v>
      </c>
      <c r="F1883" s="4" t="s">
        <v>803</v>
      </c>
      <c r="G1883" s="7" t="str">
        <f>HYPERLINK("https://www.firstpost.com/india/security-guard-rapes-Street-dog-in-mumbais-kandivali-india-must-strengthen-pca-act-to-deter-sexual-crimes-against-animals-5086991.html","News")</f>
        <v>News</v>
      </c>
      <c r="H1883" s="6" t="s">
        <v>3</v>
      </c>
      <c r="I1883" s="4" t="s">
        <v>10</v>
      </c>
      <c r="J1883" s="4" t="s">
        <v>82</v>
      </c>
      <c r="K1883" s="4" t="s">
        <v>0</v>
      </c>
    </row>
    <row r="1884" spans="1:11" ht="15.75" hidden="1" customHeight="1" x14ac:dyDescent="0.2">
      <c r="B1884" s="4" t="s">
        <v>8</v>
      </c>
      <c r="C1884" s="4" t="s">
        <v>228</v>
      </c>
      <c r="D1884" s="4" t="s">
        <v>36</v>
      </c>
      <c r="E1884" s="4" t="s">
        <v>17</v>
      </c>
      <c r="F1884" s="4" t="s">
        <v>802</v>
      </c>
      <c r="G1884" s="4" t="s">
        <v>329</v>
      </c>
      <c r="H1884" s="6" t="s">
        <v>272</v>
      </c>
      <c r="I1884" s="4" t="s">
        <v>281</v>
      </c>
      <c r="J1884" s="4" t="s">
        <v>15</v>
      </c>
      <c r="K1884" s="4" t="s">
        <v>280</v>
      </c>
    </row>
    <row r="1885" spans="1:11" ht="15.75" customHeight="1" x14ac:dyDescent="0.2">
      <c r="A1885" s="1">
        <v>148</v>
      </c>
      <c r="B1885" s="4" t="s">
        <v>8</v>
      </c>
      <c r="C1885" s="4" t="s">
        <v>271</v>
      </c>
      <c r="D1885" s="4" t="s">
        <v>94</v>
      </c>
      <c r="E1885" s="4" t="s">
        <v>81</v>
      </c>
      <c r="F1885" s="4" t="s">
        <v>801</v>
      </c>
      <c r="G1885" s="7" t="str">
        <f>HYPERLINK("https://www.hindustantimes.com/jaipur/jaipur-man-booked-for-unnatural-sex-with-female-Street-dog/story-2KjVV5ykMUU6dtU5pXtdqL.html","News")</f>
        <v>News</v>
      </c>
      <c r="H1885" s="6" t="s">
        <v>3</v>
      </c>
      <c r="I1885" s="4" t="s">
        <v>10</v>
      </c>
      <c r="J1885" s="4" t="s">
        <v>82</v>
      </c>
      <c r="K1885" s="4" t="s">
        <v>0</v>
      </c>
    </row>
    <row r="1886" spans="1:11" ht="15.75" customHeight="1" x14ac:dyDescent="0.2">
      <c r="A1886" s="1">
        <v>149</v>
      </c>
      <c r="B1886" s="4" t="s">
        <v>8</v>
      </c>
      <c r="C1886" s="4" t="s">
        <v>150</v>
      </c>
      <c r="D1886" s="4" t="s">
        <v>150</v>
      </c>
      <c r="E1886" s="4" t="s">
        <v>27</v>
      </c>
      <c r="F1886" s="4" t="s">
        <v>800</v>
      </c>
      <c r="G1886" s="7" t="s">
        <v>3</v>
      </c>
      <c r="H1886" s="6" t="s">
        <v>3</v>
      </c>
      <c r="I1886" s="4" t="s">
        <v>10</v>
      </c>
      <c r="J1886" s="4" t="s">
        <v>20</v>
      </c>
      <c r="K1886" s="4" t="s">
        <v>0</v>
      </c>
    </row>
    <row r="1887" spans="1:11" ht="15.75" hidden="1" customHeight="1" x14ac:dyDescent="0.2">
      <c r="B1887" s="4" t="s">
        <v>8</v>
      </c>
      <c r="C1887" s="4" t="s">
        <v>412</v>
      </c>
      <c r="D1887" s="4" t="s">
        <v>236</v>
      </c>
      <c r="E1887" s="4" t="s">
        <v>5</v>
      </c>
      <c r="F1887" s="4" t="s">
        <v>799</v>
      </c>
      <c r="G1887" s="7" t="str">
        <f>HYPERLINK("https://www.facebook.com/groups/goapetlife/permalink/1472026396230651/","Social media")</f>
        <v>Social media</v>
      </c>
      <c r="H1887" s="6" t="s">
        <v>11</v>
      </c>
      <c r="I1887" s="4" t="s">
        <v>10</v>
      </c>
      <c r="J1887" s="4" t="s">
        <v>15</v>
      </c>
      <c r="K1887" s="4" t="s">
        <v>0</v>
      </c>
    </row>
    <row r="1888" spans="1:11" ht="15.75" hidden="1" customHeight="1" x14ac:dyDescent="0.2">
      <c r="B1888" s="4" t="s">
        <v>8</v>
      </c>
      <c r="C1888" s="4" t="s">
        <v>139</v>
      </c>
      <c r="D1888" s="4" t="s">
        <v>18</v>
      </c>
      <c r="E1888" s="4" t="s">
        <v>159</v>
      </c>
      <c r="F1888" s="4" t="s">
        <v>798</v>
      </c>
      <c r="G1888" s="7" t="str">
        <f>HYPERLINK("https://www.facebook.com/resqct/posts/10156490098971101","Social media")</f>
        <v>Social media</v>
      </c>
      <c r="H1888" s="6" t="s">
        <v>11</v>
      </c>
      <c r="I1888" s="4" t="s">
        <v>10</v>
      </c>
      <c r="J1888" s="4" t="s">
        <v>9</v>
      </c>
      <c r="K1888" s="4" t="s">
        <v>0</v>
      </c>
    </row>
    <row r="1889" spans="2:11" ht="15.75" hidden="1" customHeight="1" x14ac:dyDescent="0.2">
      <c r="B1889" s="4" t="s">
        <v>8</v>
      </c>
      <c r="C1889" s="4" t="s">
        <v>104</v>
      </c>
      <c r="D1889" s="4" t="s">
        <v>18</v>
      </c>
      <c r="E1889" s="4" t="s">
        <v>159</v>
      </c>
      <c r="F1889" s="4" t="s">
        <v>797</v>
      </c>
      <c r="G1889" s="7" t="s">
        <v>11</v>
      </c>
      <c r="H1889" s="6" t="s">
        <v>11</v>
      </c>
      <c r="I1889" s="4" t="s">
        <v>10</v>
      </c>
      <c r="J1889" s="4" t="s">
        <v>9</v>
      </c>
      <c r="K1889" s="4" t="s">
        <v>0</v>
      </c>
    </row>
    <row r="1890" spans="2:11" ht="15.75" hidden="1" customHeight="1" x14ac:dyDescent="0.2">
      <c r="B1890" s="4" t="s">
        <v>8</v>
      </c>
      <c r="C1890" s="4" t="s">
        <v>228</v>
      </c>
      <c r="D1890" s="4" t="s">
        <v>36</v>
      </c>
      <c r="E1890" s="4" t="s">
        <v>5</v>
      </c>
      <c r="F1890" s="4" t="s">
        <v>796</v>
      </c>
      <c r="G1890" s="4" t="s">
        <v>273</v>
      </c>
      <c r="H1890" s="6" t="s">
        <v>272</v>
      </c>
      <c r="I1890" s="4" t="s">
        <v>10</v>
      </c>
      <c r="J1890" s="4" t="s">
        <v>15</v>
      </c>
      <c r="K1890" s="4" t="s">
        <v>0</v>
      </c>
    </row>
    <row r="1891" spans="2:11" ht="15.75" hidden="1" customHeight="1" x14ac:dyDescent="0.2">
      <c r="B1891" s="4" t="s">
        <v>8</v>
      </c>
      <c r="C1891" s="4" t="s">
        <v>139</v>
      </c>
      <c r="D1891" s="4" t="s">
        <v>18</v>
      </c>
      <c r="E1891" s="4" t="s">
        <v>17</v>
      </c>
      <c r="F1891" s="4" t="s">
        <v>795</v>
      </c>
      <c r="G1891" s="7" t="str">
        <f>HYPERLINK("https://www.facebook.com/resqct/posts/10156521108326101","Social media")</f>
        <v>Social media</v>
      </c>
      <c r="H1891" s="6" t="s">
        <v>11</v>
      </c>
      <c r="I1891" s="4" t="s">
        <v>10</v>
      </c>
      <c r="J1891" s="4" t="s">
        <v>15</v>
      </c>
      <c r="K1891" s="4" t="s">
        <v>0</v>
      </c>
    </row>
    <row r="1892" spans="2:11" ht="15.75" hidden="1" customHeight="1" x14ac:dyDescent="0.2">
      <c r="B1892" s="4" t="s">
        <v>8</v>
      </c>
      <c r="C1892" s="4" t="s">
        <v>170</v>
      </c>
      <c r="D1892" s="4" t="s">
        <v>88</v>
      </c>
      <c r="E1892" s="4" t="s">
        <v>5</v>
      </c>
      <c r="F1892" s="4" t="s">
        <v>794</v>
      </c>
      <c r="G1892" s="7" t="s">
        <v>11</v>
      </c>
      <c r="H1892" s="6" t="s">
        <v>11</v>
      </c>
      <c r="I1892" s="4" t="s">
        <v>2</v>
      </c>
      <c r="J1892" s="4" t="s">
        <v>15</v>
      </c>
      <c r="K1892" s="4" t="s">
        <v>0</v>
      </c>
    </row>
    <row r="1893" spans="2:11" ht="15.75" hidden="1" customHeight="1" x14ac:dyDescent="0.2">
      <c r="B1893" s="4" t="s">
        <v>8</v>
      </c>
      <c r="C1893" s="4" t="s">
        <v>228</v>
      </c>
      <c r="D1893" s="4" t="s">
        <v>36</v>
      </c>
      <c r="E1893" s="4" t="s">
        <v>159</v>
      </c>
      <c r="F1893" s="4" t="s">
        <v>793</v>
      </c>
      <c r="G1893" s="4" t="s">
        <v>289</v>
      </c>
      <c r="H1893" s="6" t="s">
        <v>272</v>
      </c>
      <c r="I1893" s="4" t="s">
        <v>292</v>
      </c>
      <c r="J1893" s="4" t="s">
        <v>281</v>
      </c>
      <c r="K1893" s="4" t="s">
        <v>792</v>
      </c>
    </row>
    <row r="1894" spans="2:11" ht="15.75" hidden="1" customHeight="1" x14ac:dyDescent="0.2">
      <c r="B1894" s="4" t="s">
        <v>8</v>
      </c>
      <c r="C1894" s="4" t="s">
        <v>358</v>
      </c>
      <c r="D1894" s="4" t="s">
        <v>71</v>
      </c>
      <c r="E1894" s="4" t="s">
        <v>5</v>
      </c>
      <c r="F1894" s="4" t="s">
        <v>791</v>
      </c>
      <c r="G1894" s="7" t="s">
        <v>11</v>
      </c>
      <c r="H1894" s="6" t="s">
        <v>11</v>
      </c>
      <c r="I1894" s="4" t="s">
        <v>10</v>
      </c>
      <c r="J1894" s="4" t="s">
        <v>20</v>
      </c>
      <c r="K1894" s="4" t="s">
        <v>0</v>
      </c>
    </row>
    <row r="1895" spans="2:11" ht="15.75" hidden="1" customHeight="1" x14ac:dyDescent="0.2">
      <c r="B1895" s="4" t="s">
        <v>8</v>
      </c>
      <c r="C1895" s="4" t="s">
        <v>566</v>
      </c>
      <c r="D1895" s="4" t="s">
        <v>42</v>
      </c>
      <c r="E1895" s="4" t="s">
        <v>5</v>
      </c>
      <c r="F1895" s="4" t="s">
        <v>790</v>
      </c>
      <c r="G1895" s="7" t="s">
        <v>11</v>
      </c>
      <c r="H1895" s="6" t="s">
        <v>11</v>
      </c>
      <c r="I1895" s="4" t="s">
        <v>2</v>
      </c>
      <c r="J1895" s="4" t="s">
        <v>15</v>
      </c>
      <c r="K1895" s="4" t="s">
        <v>0</v>
      </c>
    </row>
    <row r="1896" spans="2:11" ht="15.75" hidden="1" customHeight="1" x14ac:dyDescent="0.2">
      <c r="B1896" s="4" t="s">
        <v>8</v>
      </c>
      <c r="C1896" s="4" t="s">
        <v>228</v>
      </c>
      <c r="D1896" s="4" t="s">
        <v>36</v>
      </c>
      <c r="E1896" s="4" t="s">
        <v>5</v>
      </c>
      <c r="F1896" s="4" t="s">
        <v>789</v>
      </c>
      <c r="G1896" s="4" t="s">
        <v>329</v>
      </c>
      <c r="H1896" s="6" t="s">
        <v>272</v>
      </c>
      <c r="I1896" s="4" t="s">
        <v>10</v>
      </c>
      <c r="J1896" s="4" t="s">
        <v>15</v>
      </c>
      <c r="K1896" s="4" t="s">
        <v>0</v>
      </c>
    </row>
    <row r="1897" spans="2:11" ht="15.75" hidden="1" customHeight="1" x14ac:dyDescent="0.2">
      <c r="B1897" s="4" t="s">
        <v>8</v>
      </c>
      <c r="C1897" s="4" t="s">
        <v>104</v>
      </c>
      <c r="D1897" s="4" t="s">
        <v>18</v>
      </c>
      <c r="E1897" s="4" t="s">
        <v>17</v>
      </c>
      <c r="F1897" s="4" t="s">
        <v>788</v>
      </c>
      <c r="G1897" s="7" t="s">
        <v>11</v>
      </c>
      <c r="H1897" s="6" t="s">
        <v>11</v>
      </c>
      <c r="I1897" s="4" t="s">
        <v>10</v>
      </c>
      <c r="J1897" s="4" t="s">
        <v>15</v>
      </c>
      <c r="K1897" s="4" t="s">
        <v>0</v>
      </c>
    </row>
    <row r="1898" spans="2:11" ht="15.75" hidden="1" customHeight="1" x14ac:dyDescent="0.2">
      <c r="B1898" s="4" t="s">
        <v>8</v>
      </c>
      <c r="C1898" s="4" t="s">
        <v>104</v>
      </c>
      <c r="D1898" s="4" t="s">
        <v>18</v>
      </c>
      <c r="E1898" s="4" t="s">
        <v>17</v>
      </c>
      <c r="F1898" s="4" t="s">
        <v>787</v>
      </c>
      <c r="G1898" s="7" t="s">
        <v>11</v>
      </c>
      <c r="H1898" s="6" t="s">
        <v>11</v>
      </c>
      <c r="I1898" s="4" t="s">
        <v>10</v>
      </c>
      <c r="J1898" s="4" t="s">
        <v>20</v>
      </c>
      <c r="K1898" s="4" t="s">
        <v>0</v>
      </c>
    </row>
    <row r="1899" spans="2:11" ht="15.75" hidden="1" customHeight="1" x14ac:dyDescent="0.2">
      <c r="B1899" s="4" t="s">
        <v>8</v>
      </c>
      <c r="C1899" s="4" t="s">
        <v>228</v>
      </c>
      <c r="D1899" s="4" t="s">
        <v>36</v>
      </c>
      <c r="E1899" s="4" t="s">
        <v>159</v>
      </c>
      <c r="F1899" s="4" t="s">
        <v>786</v>
      </c>
      <c r="G1899" s="4" t="s">
        <v>289</v>
      </c>
      <c r="H1899" s="6" t="s">
        <v>272</v>
      </c>
      <c r="I1899" s="4" t="s">
        <v>614</v>
      </c>
      <c r="J1899" s="4" t="s">
        <v>50</v>
      </c>
      <c r="K1899" s="4" t="s">
        <v>280</v>
      </c>
    </row>
    <row r="1900" spans="2:11" ht="15.75" hidden="1" customHeight="1" x14ac:dyDescent="0.2">
      <c r="B1900" s="4" t="s">
        <v>8</v>
      </c>
      <c r="C1900" s="4" t="s">
        <v>60</v>
      </c>
      <c r="D1900" s="4" t="s">
        <v>232</v>
      </c>
      <c r="E1900" s="4" t="s">
        <v>17</v>
      </c>
      <c r="F1900" s="4" t="s">
        <v>785</v>
      </c>
      <c r="G1900" s="7" t="s">
        <v>11</v>
      </c>
      <c r="H1900" s="6" t="s">
        <v>11</v>
      </c>
      <c r="I1900" s="4" t="s">
        <v>10</v>
      </c>
      <c r="J1900" s="4" t="s">
        <v>15</v>
      </c>
      <c r="K1900" s="4" t="s">
        <v>0</v>
      </c>
    </row>
    <row r="1901" spans="2:11" ht="15.75" hidden="1" customHeight="1" x14ac:dyDescent="0.2">
      <c r="B1901" s="4" t="s">
        <v>8</v>
      </c>
      <c r="C1901" s="4" t="s">
        <v>228</v>
      </c>
      <c r="D1901" s="4" t="s">
        <v>36</v>
      </c>
      <c r="E1901" s="4" t="s">
        <v>5</v>
      </c>
      <c r="F1901" s="4" t="s">
        <v>784</v>
      </c>
      <c r="G1901" s="4" t="s">
        <v>273</v>
      </c>
      <c r="H1901" s="6" t="s">
        <v>272</v>
      </c>
      <c r="I1901" s="4" t="s">
        <v>197</v>
      </c>
      <c r="J1901" s="4" t="s">
        <v>50</v>
      </c>
      <c r="K1901" s="4" t="s">
        <v>432</v>
      </c>
    </row>
    <row r="1902" spans="2:11" ht="15.75" hidden="1" customHeight="1" x14ac:dyDescent="0.2">
      <c r="B1902" s="4" t="s">
        <v>8</v>
      </c>
      <c r="C1902" s="4" t="s">
        <v>783</v>
      </c>
      <c r="D1902" s="4" t="s">
        <v>66</v>
      </c>
      <c r="E1902" s="4" t="s">
        <v>17</v>
      </c>
      <c r="F1902" s="4" t="s">
        <v>782</v>
      </c>
      <c r="G1902" s="7" t="str">
        <f>HYPERLINK("https://www.facebook.com/PFATrivandrum/posts/1859532427465724","Social media")</f>
        <v>Social media</v>
      </c>
      <c r="H1902" s="6" t="s">
        <v>11</v>
      </c>
      <c r="I1902" s="4" t="s">
        <v>10</v>
      </c>
      <c r="J1902" s="4" t="s">
        <v>15</v>
      </c>
      <c r="K1902" s="4" t="s">
        <v>0</v>
      </c>
    </row>
    <row r="1903" spans="2:11" ht="15.75" hidden="1" customHeight="1" x14ac:dyDescent="0.2">
      <c r="B1903" s="4" t="s">
        <v>8</v>
      </c>
      <c r="C1903" s="4" t="s">
        <v>228</v>
      </c>
      <c r="D1903" s="4" t="s">
        <v>36</v>
      </c>
      <c r="E1903" s="4" t="s">
        <v>159</v>
      </c>
      <c r="F1903" s="4" t="s">
        <v>781</v>
      </c>
      <c r="G1903" s="4" t="s">
        <v>289</v>
      </c>
      <c r="H1903" s="6" t="s">
        <v>272</v>
      </c>
      <c r="I1903" s="4" t="s">
        <v>292</v>
      </c>
      <c r="J1903" s="4" t="s">
        <v>50</v>
      </c>
      <c r="K1903" s="4" t="s">
        <v>780</v>
      </c>
    </row>
    <row r="1904" spans="2:11" ht="15.75" hidden="1" customHeight="1" x14ac:dyDescent="0.2">
      <c r="B1904" s="4" t="s">
        <v>8</v>
      </c>
      <c r="C1904" s="4" t="s">
        <v>228</v>
      </c>
      <c r="D1904" s="4" t="s">
        <v>36</v>
      </c>
      <c r="E1904" s="4" t="s">
        <v>5</v>
      </c>
      <c r="F1904" s="4" t="s">
        <v>779</v>
      </c>
      <c r="G1904" s="4" t="s">
        <v>273</v>
      </c>
      <c r="H1904" s="6" t="s">
        <v>272</v>
      </c>
      <c r="I1904" s="4" t="s">
        <v>2</v>
      </c>
      <c r="J1904" s="4" t="s">
        <v>15</v>
      </c>
      <c r="K1904" s="4" t="s">
        <v>0</v>
      </c>
    </row>
    <row r="1905" spans="1:11" ht="15.75" hidden="1" customHeight="1" x14ac:dyDescent="0.2">
      <c r="B1905" s="4" t="s">
        <v>8</v>
      </c>
      <c r="C1905" s="4" t="s">
        <v>228</v>
      </c>
      <c r="D1905" s="4" t="s">
        <v>36</v>
      </c>
      <c r="E1905" s="4" t="s">
        <v>159</v>
      </c>
      <c r="F1905" s="4" t="s">
        <v>778</v>
      </c>
      <c r="G1905" s="4" t="s">
        <v>289</v>
      </c>
      <c r="H1905" s="6" t="s">
        <v>272</v>
      </c>
      <c r="I1905" s="4" t="s">
        <v>21</v>
      </c>
      <c r="J1905" s="4" t="s">
        <v>50</v>
      </c>
      <c r="K1905" s="4" t="s">
        <v>596</v>
      </c>
    </row>
    <row r="1906" spans="1:11" ht="15.75" hidden="1" customHeight="1" x14ac:dyDescent="0.2">
      <c r="B1906" s="4" t="s">
        <v>8</v>
      </c>
      <c r="C1906" s="4" t="s">
        <v>566</v>
      </c>
      <c r="D1906" s="4" t="s">
        <v>42</v>
      </c>
      <c r="E1906" s="4" t="s">
        <v>5</v>
      </c>
      <c r="F1906" s="4" t="s">
        <v>777</v>
      </c>
      <c r="G1906" s="7" t="s">
        <v>11</v>
      </c>
      <c r="H1906" s="6" t="s">
        <v>11</v>
      </c>
      <c r="I1906" s="4" t="s">
        <v>2</v>
      </c>
      <c r="J1906" s="4" t="s">
        <v>20</v>
      </c>
      <c r="K1906" s="4" t="s">
        <v>0</v>
      </c>
    </row>
    <row r="1907" spans="1:11" ht="15.75" hidden="1" customHeight="1" x14ac:dyDescent="0.2">
      <c r="B1907" s="4" t="s">
        <v>8</v>
      </c>
      <c r="C1907" s="4" t="s">
        <v>60</v>
      </c>
      <c r="D1907" s="4" t="s">
        <v>232</v>
      </c>
      <c r="E1907" s="4" t="s">
        <v>17</v>
      </c>
      <c r="F1907" s="4" t="s">
        <v>776</v>
      </c>
      <c r="G1907" s="7" t="s">
        <v>11</v>
      </c>
      <c r="H1907" s="6" t="s">
        <v>11</v>
      </c>
      <c r="I1907" s="4" t="s">
        <v>10</v>
      </c>
      <c r="J1907" s="4" t="s">
        <v>15</v>
      </c>
      <c r="K1907" s="4" t="s">
        <v>0</v>
      </c>
    </row>
    <row r="1908" spans="1:11" ht="15.75" customHeight="1" x14ac:dyDescent="0.2">
      <c r="A1908" s="1">
        <v>150</v>
      </c>
      <c r="B1908" s="4" t="s">
        <v>8</v>
      </c>
      <c r="C1908" s="4" t="s">
        <v>69</v>
      </c>
      <c r="D1908" s="4" t="s">
        <v>42</v>
      </c>
      <c r="E1908" s="4" t="s">
        <v>81</v>
      </c>
      <c r="F1908" s="4" t="s">
        <v>775</v>
      </c>
      <c r="G1908" s="7" t="str">
        <f>HYPERLINK("https://www.timesnownews.com/mirror-now/crime/article/uttar-pradesh-youth-rapes-4-month-old-calf-hindu-youth-wing-protests/302285","News")</f>
        <v>News</v>
      </c>
      <c r="H1908" s="6" t="s">
        <v>3</v>
      </c>
      <c r="I1908" s="4" t="s">
        <v>197</v>
      </c>
      <c r="J1908" s="4" t="s">
        <v>82</v>
      </c>
      <c r="K1908" s="4" t="s">
        <v>108</v>
      </c>
    </row>
    <row r="1909" spans="1:11" ht="15.75" hidden="1" customHeight="1" x14ac:dyDescent="0.2">
      <c r="B1909" s="4" t="s">
        <v>8</v>
      </c>
      <c r="C1909" s="4"/>
      <c r="D1909" s="4" t="s">
        <v>97</v>
      </c>
      <c r="E1909" s="4" t="s">
        <v>5</v>
      </c>
      <c r="F1909" s="4" t="s">
        <v>774</v>
      </c>
      <c r="G1909" s="7" t="s">
        <v>11</v>
      </c>
      <c r="H1909" s="6" t="s">
        <v>11</v>
      </c>
      <c r="I1909" s="4" t="s">
        <v>144</v>
      </c>
      <c r="J1909" s="4" t="s">
        <v>196</v>
      </c>
      <c r="K1909" s="4" t="s">
        <v>57</v>
      </c>
    </row>
    <row r="1910" spans="1:11" ht="15.75" hidden="1" customHeight="1" x14ac:dyDescent="0.2">
      <c r="B1910" s="4" t="s">
        <v>8</v>
      </c>
      <c r="C1910" s="4" t="s">
        <v>89</v>
      </c>
      <c r="D1910" s="4" t="s">
        <v>88</v>
      </c>
      <c r="E1910" s="4" t="s">
        <v>27</v>
      </c>
      <c r="F1910" s="4" t="s">
        <v>773</v>
      </c>
      <c r="G1910" s="7" t="s">
        <v>11</v>
      </c>
      <c r="H1910" s="6" t="s">
        <v>11</v>
      </c>
      <c r="I1910" s="4" t="s">
        <v>10</v>
      </c>
      <c r="J1910" s="4" t="s">
        <v>15</v>
      </c>
      <c r="K1910" s="4" t="s">
        <v>0</v>
      </c>
    </row>
    <row r="1911" spans="1:11" ht="15.75" hidden="1" customHeight="1" x14ac:dyDescent="0.2">
      <c r="B1911" s="4" t="s">
        <v>8</v>
      </c>
      <c r="C1911" s="4" t="s">
        <v>772</v>
      </c>
      <c r="D1911" s="4" t="s">
        <v>36</v>
      </c>
      <c r="E1911" s="4" t="s">
        <v>159</v>
      </c>
      <c r="F1911" s="4" t="s">
        <v>771</v>
      </c>
      <c r="G1911" s="4" t="s">
        <v>289</v>
      </c>
      <c r="H1911" s="6" t="s">
        <v>272</v>
      </c>
      <c r="I1911" s="4" t="s">
        <v>281</v>
      </c>
      <c r="J1911" s="4" t="s">
        <v>50</v>
      </c>
      <c r="K1911" s="4" t="s">
        <v>280</v>
      </c>
    </row>
    <row r="1912" spans="1:11" ht="15.75" customHeight="1" x14ac:dyDescent="0.2">
      <c r="A1912" s="1">
        <v>151</v>
      </c>
      <c r="B1912" s="4" t="s">
        <v>8</v>
      </c>
      <c r="C1912" s="4" t="s">
        <v>770</v>
      </c>
      <c r="D1912" s="4" t="s">
        <v>42</v>
      </c>
      <c r="E1912" s="4" t="s">
        <v>159</v>
      </c>
      <c r="F1912" s="4" t="s">
        <v>769</v>
      </c>
      <c r="G1912" s="7" t="s">
        <v>3</v>
      </c>
      <c r="H1912" s="6" t="s">
        <v>3</v>
      </c>
      <c r="I1912" s="4" t="s">
        <v>21</v>
      </c>
      <c r="J1912" s="4" t="s">
        <v>157</v>
      </c>
      <c r="K1912" s="4" t="s">
        <v>373</v>
      </c>
    </row>
    <row r="1913" spans="1:11" ht="15.75" hidden="1" customHeight="1" x14ac:dyDescent="0.2">
      <c r="B1913" s="4" t="s">
        <v>8</v>
      </c>
      <c r="C1913" s="4" t="s">
        <v>89</v>
      </c>
      <c r="D1913" s="4" t="s">
        <v>88</v>
      </c>
      <c r="E1913" s="4" t="s">
        <v>23</v>
      </c>
      <c r="F1913" s="4" t="s">
        <v>768</v>
      </c>
      <c r="G1913" s="7" t="s">
        <v>11</v>
      </c>
      <c r="H1913" s="6" t="s">
        <v>11</v>
      </c>
      <c r="I1913" s="4" t="s">
        <v>10</v>
      </c>
      <c r="J1913" s="4" t="s">
        <v>15</v>
      </c>
      <c r="K1913" s="4" t="s">
        <v>0</v>
      </c>
    </row>
    <row r="1914" spans="1:11" ht="15.75" hidden="1" customHeight="1" x14ac:dyDescent="0.2">
      <c r="B1914" s="4" t="s">
        <v>8</v>
      </c>
      <c r="C1914" s="4" t="s">
        <v>228</v>
      </c>
      <c r="D1914" s="4" t="s">
        <v>36</v>
      </c>
      <c r="E1914" s="4" t="s">
        <v>17</v>
      </c>
      <c r="F1914" s="4" t="s">
        <v>767</v>
      </c>
      <c r="G1914" s="7" t="str">
        <f>HYPERLINK("https://www.facebook.com/vosd.in/posts/2673857089324673","Social Media")</f>
        <v>Social Media</v>
      </c>
      <c r="H1914" s="6" t="s">
        <v>11</v>
      </c>
      <c r="I1914" s="4" t="s">
        <v>10</v>
      </c>
      <c r="J1914" s="4" t="s">
        <v>15</v>
      </c>
      <c r="K1914" s="4" t="s">
        <v>0</v>
      </c>
    </row>
    <row r="1915" spans="1:11" ht="15.75" hidden="1" customHeight="1" x14ac:dyDescent="0.2">
      <c r="B1915" s="4" t="s">
        <v>8</v>
      </c>
      <c r="C1915" s="4" t="s">
        <v>60</v>
      </c>
      <c r="D1915" s="4" t="s">
        <v>232</v>
      </c>
      <c r="E1915" s="4" t="s">
        <v>17</v>
      </c>
      <c r="F1915" s="4" t="s">
        <v>766</v>
      </c>
      <c r="G1915" s="7" t="s">
        <v>11</v>
      </c>
      <c r="H1915" s="6" t="s">
        <v>11</v>
      </c>
      <c r="I1915" s="4" t="s">
        <v>10</v>
      </c>
      <c r="J1915" s="4" t="s">
        <v>15</v>
      </c>
      <c r="K1915" s="4" t="s">
        <v>0</v>
      </c>
    </row>
    <row r="1916" spans="1:11" ht="15.75" hidden="1" customHeight="1" x14ac:dyDescent="0.2">
      <c r="B1916" s="4" t="s">
        <v>8</v>
      </c>
      <c r="C1916" s="4" t="s">
        <v>228</v>
      </c>
      <c r="D1916" s="4" t="s">
        <v>36</v>
      </c>
      <c r="E1916" s="4" t="s">
        <v>159</v>
      </c>
      <c r="F1916" s="4" t="s">
        <v>765</v>
      </c>
      <c r="G1916" s="4" t="s">
        <v>289</v>
      </c>
      <c r="H1916" s="6" t="s">
        <v>272</v>
      </c>
      <c r="I1916" s="4" t="s">
        <v>292</v>
      </c>
      <c r="J1916" s="4" t="s">
        <v>50</v>
      </c>
      <c r="K1916" s="4" t="s">
        <v>280</v>
      </c>
    </row>
    <row r="1917" spans="1:11" ht="15.75" hidden="1" customHeight="1" x14ac:dyDescent="0.2">
      <c r="B1917" s="4" t="s">
        <v>8</v>
      </c>
      <c r="C1917" s="4" t="s">
        <v>98</v>
      </c>
      <c r="D1917" s="4" t="s">
        <v>97</v>
      </c>
      <c r="E1917" s="4" t="s">
        <v>23</v>
      </c>
      <c r="F1917" s="4" t="s">
        <v>764</v>
      </c>
      <c r="G1917" s="7" t="s">
        <v>11</v>
      </c>
      <c r="H1917" s="6" t="s">
        <v>11</v>
      </c>
      <c r="I1917" s="4" t="s">
        <v>292</v>
      </c>
      <c r="J1917" s="4" t="s">
        <v>20</v>
      </c>
      <c r="K1917" s="4" t="s">
        <v>763</v>
      </c>
    </row>
    <row r="1918" spans="1:11" ht="15.75" customHeight="1" x14ac:dyDescent="0.2">
      <c r="A1918" s="1">
        <v>152</v>
      </c>
      <c r="B1918" s="4" t="s">
        <v>8</v>
      </c>
      <c r="C1918" s="4" t="s">
        <v>706</v>
      </c>
      <c r="D1918" s="4" t="s">
        <v>18</v>
      </c>
      <c r="E1918" s="4" t="s">
        <v>5</v>
      </c>
      <c r="F1918" s="4" t="s">
        <v>762</v>
      </c>
      <c r="G1918" s="7" t="s">
        <v>3</v>
      </c>
      <c r="H1918" s="6" t="s">
        <v>3</v>
      </c>
      <c r="I1918" s="4" t="s">
        <v>86</v>
      </c>
      <c r="J1918" s="4" t="s">
        <v>20</v>
      </c>
      <c r="K1918" s="4" t="s">
        <v>49</v>
      </c>
    </row>
    <row r="1919" spans="1:11" ht="15.75" customHeight="1" x14ac:dyDescent="0.2">
      <c r="A1919" s="1">
        <v>153</v>
      </c>
      <c r="B1919" s="4" t="s">
        <v>8</v>
      </c>
      <c r="C1919" s="4" t="s">
        <v>150</v>
      </c>
      <c r="D1919" s="4" t="s">
        <v>150</v>
      </c>
      <c r="E1919" s="4" t="s">
        <v>5</v>
      </c>
      <c r="F1919" s="4" t="s">
        <v>761</v>
      </c>
      <c r="G1919" s="7" t="s">
        <v>3</v>
      </c>
      <c r="H1919" s="6" t="s">
        <v>3</v>
      </c>
      <c r="I1919" s="4" t="s">
        <v>21</v>
      </c>
      <c r="J1919" s="4" t="s">
        <v>157</v>
      </c>
      <c r="K1919" s="4" t="s">
        <v>373</v>
      </c>
    </row>
    <row r="1920" spans="1:11" ht="15.75" hidden="1" customHeight="1" x14ac:dyDescent="0.2">
      <c r="B1920" s="4" t="s">
        <v>8</v>
      </c>
      <c r="C1920" s="4" t="s">
        <v>150</v>
      </c>
      <c r="D1920" s="4" t="s">
        <v>150</v>
      </c>
      <c r="E1920" s="4" t="s">
        <v>5</v>
      </c>
      <c r="F1920" s="4" t="s">
        <v>760</v>
      </c>
      <c r="G1920" s="7" t="s">
        <v>11</v>
      </c>
      <c r="H1920" s="6" t="s">
        <v>11</v>
      </c>
      <c r="I1920" s="4" t="s">
        <v>292</v>
      </c>
      <c r="J1920" s="4" t="s">
        <v>618</v>
      </c>
      <c r="K1920" s="4" t="s">
        <v>759</v>
      </c>
    </row>
    <row r="1921" spans="1:11" ht="15.75" hidden="1" customHeight="1" x14ac:dyDescent="0.2">
      <c r="B1921" s="4" t="s">
        <v>8</v>
      </c>
      <c r="C1921" s="4" t="s">
        <v>150</v>
      </c>
      <c r="D1921" s="4" t="s">
        <v>150</v>
      </c>
      <c r="E1921" s="4" t="s">
        <v>17</v>
      </c>
      <c r="F1921" s="4" t="s">
        <v>758</v>
      </c>
      <c r="G1921" s="7" t="s">
        <v>11</v>
      </c>
      <c r="H1921" s="6" t="s">
        <v>11</v>
      </c>
      <c r="I1921" s="4" t="s">
        <v>10</v>
      </c>
      <c r="J1921" s="4" t="s">
        <v>15</v>
      </c>
      <c r="K1921" s="4" t="s">
        <v>0</v>
      </c>
    </row>
    <row r="1922" spans="1:11" ht="15.75" customHeight="1" x14ac:dyDescent="0.2">
      <c r="A1922" s="1">
        <v>154</v>
      </c>
      <c r="B1922" s="4" t="s">
        <v>8</v>
      </c>
      <c r="C1922" s="4" t="s">
        <v>426</v>
      </c>
      <c r="D1922" s="4" t="s">
        <v>426</v>
      </c>
      <c r="E1922" s="4" t="s">
        <v>5</v>
      </c>
      <c r="F1922" s="4" t="s">
        <v>757</v>
      </c>
      <c r="G1922" s="7" t="s">
        <v>3</v>
      </c>
      <c r="H1922" s="6" t="s">
        <v>3</v>
      </c>
      <c r="I1922" s="4" t="s">
        <v>10</v>
      </c>
      <c r="J1922" s="4" t="s">
        <v>15</v>
      </c>
      <c r="K1922" s="4" t="s">
        <v>0</v>
      </c>
    </row>
    <row r="1923" spans="1:11" ht="15.75" customHeight="1" x14ac:dyDescent="0.2">
      <c r="A1923" s="1">
        <v>155</v>
      </c>
      <c r="B1923" s="4" t="s">
        <v>8</v>
      </c>
      <c r="C1923" s="4" t="s">
        <v>63</v>
      </c>
      <c r="D1923" s="4" t="s">
        <v>62</v>
      </c>
      <c r="E1923" s="4" t="s">
        <v>17</v>
      </c>
      <c r="F1923" s="4" t="s">
        <v>756</v>
      </c>
      <c r="G1923" s="7" t="s">
        <v>3</v>
      </c>
      <c r="H1923" s="6" t="s">
        <v>3</v>
      </c>
      <c r="I1923" s="4" t="s">
        <v>21</v>
      </c>
      <c r="J1923" s="4" t="s">
        <v>20</v>
      </c>
      <c r="K1923" s="4" t="s">
        <v>45</v>
      </c>
    </row>
    <row r="1924" spans="1:11" ht="15.75" hidden="1" customHeight="1" x14ac:dyDescent="0.2">
      <c r="B1924" s="4" t="s">
        <v>8</v>
      </c>
      <c r="C1924" s="4" t="s">
        <v>594</v>
      </c>
      <c r="D1924" s="4" t="s">
        <v>66</v>
      </c>
      <c r="E1924" s="4" t="s">
        <v>17</v>
      </c>
      <c r="F1924" s="4" t="s">
        <v>755</v>
      </c>
      <c r="G1924" s="7" t="str">
        <f>HYPERLINK("https://www.facebook.com/pfakollam/videos/vb.840811579305912/1133975376750479/?type=2&amp;theater","Social media")</f>
        <v>Social media</v>
      </c>
      <c r="H1924" s="6" t="s">
        <v>11</v>
      </c>
      <c r="I1924" s="4" t="s">
        <v>10</v>
      </c>
      <c r="J1924" s="4" t="s">
        <v>20</v>
      </c>
      <c r="K1924" s="4" t="s">
        <v>75</v>
      </c>
    </row>
    <row r="1925" spans="1:11" ht="15.75" hidden="1" customHeight="1" x14ac:dyDescent="0.2">
      <c r="B1925" s="4" t="s">
        <v>8</v>
      </c>
      <c r="C1925" s="4" t="s">
        <v>150</v>
      </c>
      <c r="D1925" s="4" t="s">
        <v>150</v>
      </c>
      <c r="E1925" s="4" t="s">
        <v>5</v>
      </c>
      <c r="F1925" s="4" t="s">
        <v>754</v>
      </c>
      <c r="G1925" s="7" t="s">
        <v>11</v>
      </c>
      <c r="H1925" s="6" t="s">
        <v>11</v>
      </c>
      <c r="I1925" s="4" t="s">
        <v>10</v>
      </c>
      <c r="J1925" s="4" t="s">
        <v>15</v>
      </c>
      <c r="K1925" s="4" t="s">
        <v>0</v>
      </c>
    </row>
    <row r="1926" spans="1:11" ht="15.75" hidden="1" customHeight="1" x14ac:dyDescent="0.2">
      <c r="B1926" s="4" t="s">
        <v>8</v>
      </c>
      <c r="C1926" s="4" t="s">
        <v>228</v>
      </c>
      <c r="D1926" s="4" t="s">
        <v>36</v>
      </c>
      <c r="E1926" s="4" t="s">
        <v>17</v>
      </c>
      <c r="F1926" s="4" t="s">
        <v>753</v>
      </c>
      <c r="G1926" s="4" t="s">
        <v>329</v>
      </c>
      <c r="H1926" s="6" t="s">
        <v>272</v>
      </c>
      <c r="I1926" s="4" t="s">
        <v>2</v>
      </c>
      <c r="J1926" s="4" t="s">
        <v>15</v>
      </c>
      <c r="K1926" s="4" t="s">
        <v>0</v>
      </c>
    </row>
    <row r="1927" spans="1:11" ht="15.75" hidden="1" customHeight="1" x14ac:dyDescent="0.2">
      <c r="B1927" s="4" t="s">
        <v>8</v>
      </c>
      <c r="C1927" s="4" t="s">
        <v>228</v>
      </c>
      <c r="D1927" s="4" t="s">
        <v>36</v>
      </c>
      <c r="E1927" s="4" t="s">
        <v>159</v>
      </c>
      <c r="F1927" s="4" t="s">
        <v>752</v>
      </c>
      <c r="G1927" s="4" t="s">
        <v>289</v>
      </c>
      <c r="H1927" s="6" t="s">
        <v>272</v>
      </c>
      <c r="I1927" s="4" t="s">
        <v>292</v>
      </c>
      <c r="J1927" s="4" t="s">
        <v>50</v>
      </c>
      <c r="K1927" s="4" t="s">
        <v>280</v>
      </c>
    </row>
    <row r="1928" spans="1:11" ht="15.75" customHeight="1" x14ac:dyDescent="0.2">
      <c r="A1928" s="1">
        <v>156</v>
      </c>
      <c r="B1928" s="4" t="s">
        <v>8</v>
      </c>
      <c r="C1928" s="4" t="s">
        <v>104</v>
      </c>
      <c r="D1928" s="4" t="s">
        <v>18</v>
      </c>
      <c r="E1928" s="4" t="s">
        <v>27</v>
      </c>
      <c r="F1928" s="4" t="s">
        <v>751</v>
      </c>
      <c r="G1928" s="7" t="str">
        <f>HYPERLINK("https://www.deccanchronicle.com/nation/in-other-news/201118/inhumane-crime-male-dog-raped-by-4-men-in-mumbai.html?fbclid=IwAR1_nv2dudcEUi55e-zjpLcBe2lWb_1Whc5aadTNHU2xy1IfUI_VRE5jQ0o","News")</f>
        <v>News</v>
      </c>
      <c r="H1928" s="6" t="s">
        <v>3</v>
      </c>
      <c r="I1928" s="4" t="s">
        <v>10</v>
      </c>
      <c r="J1928" s="4" t="s">
        <v>82</v>
      </c>
      <c r="K1928" s="4" t="s">
        <v>0</v>
      </c>
    </row>
    <row r="1929" spans="1:11" ht="15.75" customHeight="1" x14ac:dyDescent="0.2">
      <c r="A1929" s="1">
        <v>157</v>
      </c>
      <c r="B1929" s="4" t="s">
        <v>8</v>
      </c>
      <c r="C1929" s="4" t="s">
        <v>130</v>
      </c>
      <c r="D1929" s="4" t="s">
        <v>77</v>
      </c>
      <c r="E1929" s="4" t="s">
        <v>159</v>
      </c>
      <c r="F1929" s="4" t="s">
        <v>750</v>
      </c>
      <c r="G1929" s="7" t="str">
        <f>HYPERLINK("https://www.deccanchronicle.com/nation/current-affairs/260416/fear-of-cats-sold-for-meat-looms-large-in-bengaluru.html","News")</f>
        <v>News</v>
      </c>
      <c r="H1929" s="6" t="s">
        <v>3</v>
      </c>
      <c r="I1929" s="4" t="s">
        <v>2</v>
      </c>
      <c r="J1929" s="4" t="s">
        <v>1</v>
      </c>
      <c r="K1929" s="4" t="s">
        <v>75</v>
      </c>
    </row>
    <row r="1930" spans="1:11" ht="15.75" hidden="1" customHeight="1" x14ac:dyDescent="0.2">
      <c r="B1930" s="4" t="s">
        <v>8</v>
      </c>
      <c r="C1930" s="4" t="s">
        <v>594</v>
      </c>
      <c r="D1930" s="4" t="s">
        <v>66</v>
      </c>
      <c r="E1930" s="4" t="s">
        <v>5</v>
      </c>
      <c r="F1930" s="4" t="s">
        <v>749</v>
      </c>
      <c r="G1930" s="7" t="str">
        <f>HYPERLINK("https://www.facebook.com/pfakollam/videos/vb.840811579305912/2185696948336596/?type=2&amp;theater","Social media")</f>
        <v>Social media</v>
      </c>
      <c r="H1930" s="6" t="s">
        <v>11</v>
      </c>
      <c r="I1930" s="4" t="s">
        <v>10</v>
      </c>
      <c r="J1930" s="4" t="s">
        <v>15</v>
      </c>
      <c r="K1930" s="4" t="s">
        <v>0</v>
      </c>
    </row>
    <row r="1931" spans="1:11" ht="15.75" customHeight="1" x14ac:dyDescent="0.2">
      <c r="A1931" s="1">
        <v>158</v>
      </c>
      <c r="B1931" s="4" t="s">
        <v>8</v>
      </c>
      <c r="C1931" s="4" t="s">
        <v>104</v>
      </c>
      <c r="D1931" s="4" t="s">
        <v>18</v>
      </c>
      <c r="E1931" s="4" t="s">
        <v>23</v>
      </c>
      <c r="F1931" s="4" t="s">
        <v>748</v>
      </c>
      <c r="G1931" s="7" t="str">
        <f>HYPERLINK("https://www.thequint.com/news/india/dog-brutally-assaulted-by-4-men-in-mumbai-dies","News")</f>
        <v>News</v>
      </c>
      <c r="H1931" s="6" t="s">
        <v>3</v>
      </c>
      <c r="I1931" s="4" t="s">
        <v>10</v>
      </c>
      <c r="J1931" s="4" t="s">
        <v>20</v>
      </c>
      <c r="K1931" s="4" t="s">
        <v>0</v>
      </c>
    </row>
    <row r="1932" spans="1:11" ht="15.75" hidden="1" customHeight="1" x14ac:dyDescent="0.2">
      <c r="B1932" s="4" t="s">
        <v>8</v>
      </c>
      <c r="C1932" s="4" t="s">
        <v>388</v>
      </c>
      <c r="D1932" s="4" t="s">
        <v>28</v>
      </c>
      <c r="E1932" s="4" t="s">
        <v>17</v>
      </c>
      <c r="F1932" s="4" t="s">
        <v>747</v>
      </c>
      <c r="G1932" s="7" t="s">
        <v>11</v>
      </c>
      <c r="H1932" s="6" t="s">
        <v>11</v>
      </c>
      <c r="I1932" s="4" t="s">
        <v>2</v>
      </c>
      <c r="J1932" s="4" t="s">
        <v>15</v>
      </c>
      <c r="K1932" s="4" t="s">
        <v>0</v>
      </c>
    </row>
    <row r="1933" spans="1:11" ht="15.75" hidden="1" customHeight="1" x14ac:dyDescent="0.2">
      <c r="B1933" s="4" t="s">
        <v>8</v>
      </c>
      <c r="C1933" s="4" t="s">
        <v>150</v>
      </c>
      <c r="D1933" s="4" t="s">
        <v>150</v>
      </c>
      <c r="E1933" s="4" t="s">
        <v>5</v>
      </c>
      <c r="F1933" s="4" t="s">
        <v>746</v>
      </c>
      <c r="G1933" s="7" t="s">
        <v>11</v>
      </c>
      <c r="H1933" s="6" t="s">
        <v>11</v>
      </c>
      <c r="I1933" s="4" t="s">
        <v>10</v>
      </c>
      <c r="J1933" s="4" t="s">
        <v>15</v>
      </c>
      <c r="K1933" s="4" t="s">
        <v>0</v>
      </c>
    </row>
    <row r="1934" spans="1:11" ht="15.75" customHeight="1" x14ac:dyDescent="0.2">
      <c r="A1934" s="1">
        <v>159</v>
      </c>
      <c r="B1934" s="4" t="s">
        <v>8</v>
      </c>
      <c r="C1934" s="4" t="s">
        <v>745</v>
      </c>
      <c r="D1934" s="4" t="s">
        <v>210</v>
      </c>
      <c r="E1934" s="4" t="s">
        <v>5</v>
      </c>
      <c r="F1934" s="4" t="s">
        <v>744</v>
      </c>
      <c r="G1934" s="7" t="s">
        <v>3</v>
      </c>
      <c r="H1934" s="6" t="s">
        <v>3</v>
      </c>
      <c r="I1934" s="4" t="s">
        <v>144</v>
      </c>
      <c r="J1934" s="4" t="s">
        <v>20</v>
      </c>
      <c r="K1934" s="4" t="s">
        <v>57</v>
      </c>
    </row>
    <row r="1935" spans="1:11" ht="15.75" customHeight="1" x14ac:dyDescent="0.2">
      <c r="A1935" s="1">
        <v>160</v>
      </c>
      <c r="B1935" s="4" t="s">
        <v>8</v>
      </c>
      <c r="C1935" s="4" t="s">
        <v>743</v>
      </c>
      <c r="D1935" s="4" t="s">
        <v>42</v>
      </c>
      <c r="E1935" s="4" t="s">
        <v>81</v>
      </c>
      <c r="F1935" s="4" t="s">
        <v>742</v>
      </c>
      <c r="G1935" s="7" t="str">
        <f>HYPERLINK("https://indianexpress.com/article/cities/lucknow/uproar-over-mysterious-deaths-of-14-cows-in-jhansi-saharanpur-police-suspect-poisoning/","News")</f>
        <v>News</v>
      </c>
      <c r="H1935" s="6" t="s">
        <v>3</v>
      </c>
      <c r="I1935" s="4" t="s">
        <v>144</v>
      </c>
      <c r="J1935" s="4" t="s">
        <v>20</v>
      </c>
      <c r="K1935" s="4" t="s">
        <v>57</v>
      </c>
    </row>
    <row r="1936" spans="1:11" ht="15.75" customHeight="1" x14ac:dyDescent="0.2">
      <c r="A1936" s="1">
        <v>161</v>
      </c>
      <c r="B1936" s="4" t="s">
        <v>8</v>
      </c>
      <c r="C1936" s="4" t="s">
        <v>741</v>
      </c>
      <c r="D1936" s="4" t="s">
        <v>42</v>
      </c>
      <c r="E1936" s="4" t="s">
        <v>81</v>
      </c>
      <c r="F1936" s="4" t="s">
        <v>740</v>
      </c>
      <c r="G1936" s="20" t="str">
        <f>HYPERLINK("https://www.thequint.com/news/india/mysterious-death-of-cows-in-jhansi-saharanpur-could-be-due-to-poisoning","News")</f>
        <v>News</v>
      </c>
      <c r="H1936" s="6" t="s">
        <v>3</v>
      </c>
      <c r="I1936" s="5" t="s">
        <v>10</v>
      </c>
      <c r="J1936" s="5" t="s">
        <v>20</v>
      </c>
      <c r="K1936" s="5" t="s">
        <v>57</v>
      </c>
    </row>
    <row r="1937" spans="1:11" ht="15.75" hidden="1" customHeight="1" x14ac:dyDescent="0.2">
      <c r="B1937" s="4" t="s">
        <v>8</v>
      </c>
      <c r="C1937" s="4" t="s">
        <v>228</v>
      </c>
      <c r="D1937" s="4" t="s">
        <v>36</v>
      </c>
      <c r="E1937" s="4" t="s">
        <v>159</v>
      </c>
      <c r="F1937" s="4" t="s">
        <v>739</v>
      </c>
      <c r="G1937" s="4" t="s">
        <v>289</v>
      </c>
      <c r="H1937" s="6" t="s">
        <v>272</v>
      </c>
      <c r="I1937" s="4" t="s">
        <v>292</v>
      </c>
      <c r="J1937" s="4" t="s">
        <v>50</v>
      </c>
      <c r="K1937" s="4" t="s">
        <v>280</v>
      </c>
    </row>
    <row r="1938" spans="1:11" ht="15.75" hidden="1" customHeight="1" x14ac:dyDescent="0.2">
      <c r="B1938" s="4" t="s">
        <v>8</v>
      </c>
      <c r="C1938" s="4" t="s">
        <v>228</v>
      </c>
      <c r="D1938" s="4" t="s">
        <v>36</v>
      </c>
      <c r="E1938" s="4" t="s">
        <v>159</v>
      </c>
      <c r="F1938" s="4" t="s">
        <v>738</v>
      </c>
      <c r="G1938" s="4" t="s">
        <v>289</v>
      </c>
      <c r="H1938" s="6" t="s">
        <v>272</v>
      </c>
      <c r="I1938" s="4" t="s">
        <v>281</v>
      </c>
      <c r="J1938" s="4" t="s">
        <v>50</v>
      </c>
      <c r="K1938" s="4" t="s">
        <v>280</v>
      </c>
    </row>
    <row r="1939" spans="1:11" ht="15.75" hidden="1" customHeight="1" x14ac:dyDescent="0.2">
      <c r="B1939" s="4" t="s">
        <v>8</v>
      </c>
      <c r="C1939" s="4" t="s">
        <v>566</v>
      </c>
      <c r="D1939" s="4" t="s">
        <v>42</v>
      </c>
      <c r="E1939" s="4" t="s">
        <v>5</v>
      </c>
      <c r="F1939" s="4" t="s">
        <v>737</v>
      </c>
      <c r="G1939" s="7" t="s">
        <v>11</v>
      </c>
      <c r="H1939" s="6" t="s">
        <v>11</v>
      </c>
      <c r="I1939" s="4" t="s">
        <v>10</v>
      </c>
      <c r="J1939" s="4" t="s">
        <v>20</v>
      </c>
      <c r="K1939" s="4" t="s">
        <v>0</v>
      </c>
    </row>
    <row r="1940" spans="1:11" ht="15.75" hidden="1" customHeight="1" x14ac:dyDescent="0.2">
      <c r="B1940" s="4" t="s">
        <v>8</v>
      </c>
      <c r="C1940" s="4" t="s">
        <v>566</v>
      </c>
      <c r="D1940" s="4" t="s">
        <v>42</v>
      </c>
      <c r="E1940" s="4" t="s">
        <v>5</v>
      </c>
      <c r="F1940" s="4" t="s">
        <v>736</v>
      </c>
      <c r="G1940" s="7" t="s">
        <v>11</v>
      </c>
      <c r="H1940" s="6" t="s">
        <v>11</v>
      </c>
      <c r="I1940" s="4" t="s">
        <v>2</v>
      </c>
      <c r="J1940" s="4" t="s">
        <v>15</v>
      </c>
      <c r="K1940" s="4" t="s">
        <v>0</v>
      </c>
    </row>
    <row r="1941" spans="1:11" ht="15.75" hidden="1" customHeight="1" x14ac:dyDescent="0.2">
      <c r="B1941" s="4" t="s">
        <v>8</v>
      </c>
      <c r="C1941" s="4" t="s">
        <v>91</v>
      </c>
      <c r="D1941" s="4" t="s">
        <v>42</v>
      </c>
      <c r="E1941" s="4" t="s">
        <v>5</v>
      </c>
      <c r="F1941" s="4" t="s">
        <v>735</v>
      </c>
      <c r="G1941" s="7" t="s">
        <v>11</v>
      </c>
      <c r="H1941" s="6" t="s">
        <v>11</v>
      </c>
      <c r="I1941" s="4" t="s">
        <v>10</v>
      </c>
      <c r="J1941" s="4" t="s">
        <v>20</v>
      </c>
      <c r="K1941" s="4" t="s">
        <v>0</v>
      </c>
    </row>
    <row r="1942" spans="1:11" ht="15.75" hidden="1" customHeight="1" x14ac:dyDescent="0.2">
      <c r="B1942" s="4" t="s">
        <v>8</v>
      </c>
      <c r="C1942" s="4" t="s">
        <v>150</v>
      </c>
      <c r="D1942" s="4" t="s">
        <v>150</v>
      </c>
      <c r="E1942" s="4" t="s">
        <v>23</v>
      </c>
      <c r="F1942" s="4" t="s">
        <v>734</v>
      </c>
      <c r="G1942" s="7" t="s">
        <v>11</v>
      </c>
      <c r="H1942" s="6" t="s">
        <v>11</v>
      </c>
      <c r="I1942" s="4" t="s">
        <v>10</v>
      </c>
      <c r="J1942" s="4" t="s">
        <v>20</v>
      </c>
      <c r="K1942" s="4" t="s">
        <v>0</v>
      </c>
    </row>
    <row r="1943" spans="1:11" ht="15.75" customHeight="1" x14ac:dyDescent="0.2">
      <c r="A1943" s="1">
        <v>162</v>
      </c>
      <c r="B1943" s="4" t="s">
        <v>8</v>
      </c>
      <c r="C1943" s="4" t="s">
        <v>181</v>
      </c>
      <c r="D1943" s="4" t="s">
        <v>42</v>
      </c>
      <c r="E1943" s="4" t="s">
        <v>27</v>
      </c>
      <c r="F1943" s="4" t="s">
        <v>733</v>
      </c>
      <c r="G1943" s="7" t="str">
        <f>HYPERLINK("https://timesofindia.indiatimes.com/city/ghaziabad/two-tie-dog-to-scooter-drag-it-3km-till-it-dies-one-held/articleshow/67110619.cms","News")</f>
        <v>News</v>
      </c>
      <c r="H1943" s="6" t="s">
        <v>3</v>
      </c>
      <c r="I1943" s="4" t="s">
        <v>10</v>
      </c>
      <c r="J1943" s="4" t="s">
        <v>20</v>
      </c>
      <c r="K1943" s="4" t="s">
        <v>0</v>
      </c>
    </row>
    <row r="1944" spans="1:11" ht="15.75" hidden="1" customHeight="1" x14ac:dyDescent="0.2">
      <c r="B1944" s="4" t="s">
        <v>8</v>
      </c>
      <c r="C1944" s="4" t="s">
        <v>91</v>
      </c>
      <c r="D1944" s="4" t="s">
        <v>42</v>
      </c>
      <c r="E1944" s="4" t="s">
        <v>5</v>
      </c>
      <c r="F1944" s="4" t="s">
        <v>732</v>
      </c>
      <c r="G1944" s="7" t="s">
        <v>11</v>
      </c>
      <c r="H1944" s="6" t="s">
        <v>11</v>
      </c>
      <c r="I1944" s="4" t="s">
        <v>2</v>
      </c>
      <c r="J1944" s="4" t="s">
        <v>15</v>
      </c>
      <c r="K1944" s="4" t="s">
        <v>0</v>
      </c>
    </row>
    <row r="1945" spans="1:11" ht="15.75" customHeight="1" x14ac:dyDescent="0.2">
      <c r="A1945" s="1">
        <v>163</v>
      </c>
      <c r="B1945" s="4" t="s">
        <v>8</v>
      </c>
      <c r="C1945" s="4" t="s">
        <v>111</v>
      </c>
      <c r="D1945" s="4" t="s">
        <v>24</v>
      </c>
      <c r="E1945" s="4" t="s">
        <v>5</v>
      </c>
      <c r="F1945" s="4" t="s">
        <v>731</v>
      </c>
      <c r="G1945" s="7" t="s">
        <v>3</v>
      </c>
      <c r="H1945" s="6" t="s">
        <v>3</v>
      </c>
      <c r="I1945" s="4" t="s">
        <v>10</v>
      </c>
      <c r="J1945" s="4" t="s">
        <v>20</v>
      </c>
      <c r="K1945" s="4" t="s">
        <v>0</v>
      </c>
    </row>
    <row r="1946" spans="1:11" ht="15.75" hidden="1" customHeight="1" x14ac:dyDescent="0.2">
      <c r="B1946" s="4" t="s">
        <v>8</v>
      </c>
      <c r="C1946" s="4" t="s">
        <v>150</v>
      </c>
      <c r="D1946" s="4" t="s">
        <v>150</v>
      </c>
      <c r="E1946" s="4" t="s">
        <v>5</v>
      </c>
      <c r="F1946" s="4" t="s">
        <v>730</v>
      </c>
      <c r="G1946" s="7" t="s">
        <v>11</v>
      </c>
      <c r="H1946" s="6" t="s">
        <v>11</v>
      </c>
      <c r="I1946" s="4" t="s">
        <v>10</v>
      </c>
      <c r="J1946" s="4" t="s">
        <v>20</v>
      </c>
      <c r="K1946" s="4" t="s">
        <v>0</v>
      </c>
    </row>
    <row r="1947" spans="1:11" ht="15.75" customHeight="1" x14ac:dyDescent="0.2">
      <c r="A1947" s="1">
        <v>164</v>
      </c>
      <c r="B1947" s="4" t="s">
        <v>8</v>
      </c>
      <c r="C1947" s="4" t="s">
        <v>181</v>
      </c>
      <c r="D1947" s="4" t="s">
        <v>42</v>
      </c>
      <c r="E1947" s="4" t="s">
        <v>27</v>
      </c>
      <c r="F1947" s="4" t="s">
        <v>729</v>
      </c>
      <c r="G1947" s="7" t="s">
        <v>3</v>
      </c>
      <c r="H1947" s="6" t="s">
        <v>3</v>
      </c>
      <c r="I1947" s="4" t="s">
        <v>10</v>
      </c>
      <c r="J1947" s="4" t="s">
        <v>20</v>
      </c>
      <c r="K1947" s="4" t="s">
        <v>0</v>
      </c>
    </row>
    <row r="1948" spans="1:11" ht="15.75" customHeight="1" x14ac:dyDescent="0.2">
      <c r="A1948" s="1">
        <v>165</v>
      </c>
      <c r="B1948" s="4" t="s">
        <v>8</v>
      </c>
      <c r="C1948" s="4" t="s">
        <v>181</v>
      </c>
      <c r="D1948" s="4" t="s">
        <v>42</v>
      </c>
      <c r="E1948" s="4" t="s">
        <v>23</v>
      </c>
      <c r="F1948" s="4" t="s">
        <v>728</v>
      </c>
      <c r="G1948" s="7" t="str">
        <f>HYPERLINK("https://www.dailypioneer.com/2018/pioneer-exclusive/2-rape-dog--drag-her-to-death.html","News")</f>
        <v>News</v>
      </c>
      <c r="H1948" s="6" t="s">
        <v>3</v>
      </c>
      <c r="I1948" s="4" t="s">
        <v>10</v>
      </c>
      <c r="J1948" s="4" t="s">
        <v>82</v>
      </c>
      <c r="K1948" s="4" t="s">
        <v>0</v>
      </c>
    </row>
    <row r="1949" spans="1:11" ht="15.75" hidden="1" customHeight="1" x14ac:dyDescent="0.2">
      <c r="B1949" s="4" t="s">
        <v>8</v>
      </c>
      <c r="C1949" s="4" t="s">
        <v>566</v>
      </c>
      <c r="D1949" s="4" t="s">
        <v>42</v>
      </c>
      <c r="E1949" s="4" t="s">
        <v>17</v>
      </c>
      <c r="F1949" s="4" t="s">
        <v>727</v>
      </c>
      <c r="G1949" s="7" t="s">
        <v>11</v>
      </c>
      <c r="H1949" s="6" t="s">
        <v>11</v>
      </c>
      <c r="I1949" s="4" t="s">
        <v>10</v>
      </c>
      <c r="J1949" s="4" t="s">
        <v>20</v>
      </c>
      <c r="K1949" s="4" t="s">
        <v>0</v>
      </c>
    </row>
    <row r="1950" spans="1:11" ht="15.75" hidden="1" customHeight="1" x14ac:dyDescent="0.2">
      <c r="B1950" s="4" t="s">
        <v>8</v>
      </c>
      <c r="C1950" s="4" t="s">
        <v>726</v>
      </c>
      <c r="D1950" s="4" t="s">
        <v>42</v>
      </c>
      <c r="E1950" s="4" t="s">
        <v>17</v>
      </c>
      <c r="F1950" s="4" t="s">
        <v>725</v>
      </c>
      <c r="G1950" s="7" t="s">
        <v>11</v>
      </c>
      <c r="H1950" s="6" t="s">
        <v>11</v>
      </c>
      <c r="I1950" s="4" t="s">
        <v>10</v>
      </c>
      <c r="J1950" s="4" t="s">
        <v>15</v>
      </c>
      <c r="K1950" s="4" t="s">
        <v>0</v>
      </c>
    </row>
    <row r="1951" spans="1:11" ht="15.75" hidden="1" customHeight="1" x14ac:dyDescent="0.2">
      <c r="B1951" s="4" t="s">
        <v>8</v>
      </c>
      <c r="C1951" s="4" t="s">
        <v>271</v>
      </c>
      <c r="D1951" s="4" t="s">
        <v>94</v>
      </c>
      <c r="E1951" s="4" t="s">
        <v>5</v>
      </c>
      <c r="F1951" s="4" t="s">
        <v>724</v>
      </c>
      <c r="G1951" s="6" t="s">
        <v>272</v>
      </c>
      <c r="H1951" s="6">
        <v>19</v>
      </c>
      <c r="I1951" s="4" t="s">
        <v>10</v>
      </c>
      <c r="J1951" s="4" t="s">
        <v>15</v>
      </c>
      <c r="K1951" s="4" t="s">
        <v>0</v>
      </c>
    </row>
    <row r="1952" spans="1:11" ht="15.75" hidden="1" customHeight="1" x14ac:dyDescent="0.2">
      <c r="B1952" s="4" t="s">
        <v>8</v>
      </c>
      <c r="C1952" s="4" t="s">
        <v>228</v>
      </c>
      <c r="D1952" s="4" t="s">
        <v>36</v>
      </c>
      <c r="E1952" s="4" t="s">
        <v>159</v>
      </c>
      <c r="F1952" s="4" t="s">
        <v>723</v>
      </c>
      <c r="G1952" s="4" t="s">
        <v>289</v>
      </c>
      <c r="H1952" s="6" t="s">
        <v>272</v>
      </c>
      <c r="I1952" s="4" t="s">
        <v>614</v>
      </c>
      <c r="J1952" s="4" t="s">
        <v>50</v>
      </c>
      <c r="K1952" s="4" t="s">
        <v>280</v>
      </c>
    </row>
    <row r="1953" spans="1:11" ht="15.75" hidden="1" customHeight="1" x14ac:dyDescent="0.2">
      <c r="B1953" s="4" t="s">
        <v>8</v>
      </c>
      <c r="C1953" s="4" t="s">
        <v>111</v>
      </c>
      <c r="D1953" s="4" t="s">
        <v>24</v>
      </c>
      <c r="E1953" s="4" t="s">
        <v>27</v>
      </c>
      <c r="F1953" s="4" t="s">
        <v>722</v>
      </c>
      <c r="G1953" s="7" t="s">
        <v>11</v>
      </c>
      <c r="H1953" s="6" t="s">
        <v>11</v>
      </c>
      <c r="I1953" s="4" t="s">
        <v>2</v>
      </c>
      <c r="J1953" s="4" t="s">
        <v>20</v>
      </c>
      <c r="K1953" s="4" t="s">
        <v>0</v>
      </c>
    </row>
    <row r="1954" spans="1:11" ht="15.75" hidden="1" customHeight="1" x14ac:dyDescent="0.2">
      <c r="B1954" s="4" t="s">
        <v>8</v>
      </c>
      <c r="C1954" s="4" t="s">
        <v>721</v>
      </c>
      <c r="D1954" s="4" t="s">
        <v>97</v>
      </c>
      <c r="E1954" s="4" t="s">
        <v>17</v>
      </c>
      <c r="F1954" s="4" t="s">
        <v>720</v>
      </c>
      <c r="G1954" s="7" t="s">
        <v>11</v>
      </c>
      <c r="H1954" s="6" t="s">
        <v>11</v>
      </c>
      <c r="I1954" s="4" t="s">
        <v>21</v>
      </c>
      <c r="J1954" s="4" t="s">
        <v>15</v>
      </c>
      <c r="K1954" s="4" t="s">
        <v>64</v>
      </c>
    </row>
    <row r="1955" spans="1:11" ht="15.75" hidden="1" customHeight="1" x14ac:dyDescent="0.2">
      <c r="B1955" s="4" t="s">
        <v>8</v>
      </c>
      <c r="C1955" s="4" t="s">
        <v>150</v>
      </c>
      <c r="D1955" s="4" t="s">
        <v>150</v>
      </c>
      <c r="E1955" s="4" t="s">
        <v>5</v>
      </c>
      <c r="F1955" s="4" t="s">
        <v>719</v>
      </c>
      <c r="G1955" s="7" t="s">
        <v>11</v>
      </c>
      <c r="H1955" s="6" t="s">
        <v>11</v>
      </c>
      <c r="I1955" s="4" t="s">
        <v>197</v>
      </c>
      <c r="J1955" s="4" t="s">
        <v>1</v>
      </c>
      <c r="K1955" s="4" t="s">
        <v>432</v>
      </c>
    </row>
    <row r="1956" spans="1:11" ht="15.75" hidden="1" customHeight="1" x14ac:dyDescent="0.2">
      <c r="B1956" s="4" t="s">
        <v>8</v>
      </c>
      <c r="C1956" s="4" t="s">
        <v>718</v>
      </c>
      <c r="D1956" s="4" t="s">
        <v>154</v>
      </c>
      <c r="E1956" s="4" t="s">
        <v>17</v>
      </c>
      <c r="F1956" s="4" t="s">
        <v>717</v>
      </c>
      <c r="G1956" s="7" t="s">
        <v>11</v>
      </c>
      <c r="H1956" s="6" t="s">
        <v>11</v>
      </c>
      <c r="I1956" s="4" t="s">
        <v>10</v>
      </c>
      <c r="J1956" s="4" t="s">
        <v>15</v>
      </c>
      <c r="K1956" s="4" t="s">
        <v>0</v>
      </c>
    </row>
    <row r="1957" spans="1:11" ht="15.75" customHeight="1" x14ac:dyDescent="0.2">
      <c r="A1957" s="1">
        <v>166</v>
      </c>
      <c r="B1957" s="4" t="s">
        <v>8</v>
      </c>
      <c r="C1957" s="4" t="s">
        <v>130</v>
      </c>
      <c r="D1957" s="4" t="s">
        <v>77</v>
      </c>
      <c r="E1957" s="4" t="s">
        <v>27</v>
      </c>
      <c r="F1957" s="4" t="s">
        <v>716</v>
      </c>
      <c r="G1957" s="7" t="str">
        <f>HYPERLINK("https://www.thenewsminute.com/article/chennai-man-arrested-throwing-brick-dog-causing-it-lose-eye-94063","News")</f>
        <v>News</v>
      </c>
      <c r="H1957" s="6" t="s">
        <v>3</v>
      </c>
      <c r="I1957" s="4" t="s">
        <v>10</v>
      </c>
      <c r="J1957" s="4" t="s">
        <v>15</v>
      </c>
      <c r="K1957" s="4" t="s">
        <v>0</v>
      </c>
    </row>
    <row r="1958" spans="1:11" ht="15.75" hidden="1" customHeight="1" x14ac:dyDescent="0.2">
      <c r="B1958" s="4" t="s">
        <v>8</v>
      </c>
      <c r="C1958" s="4" t="s">
        <v>358</v>
      </c>
      <c r="D1958" s="4" t="s">
        <v>42</v>
      </c>
      <c r="E1958" s="4" t="s">
        <v>23</v>
      </c>
      <c r="F1958" s="4" t="s">
        <v>715</v>
      </c>
      <c r="G1958" s="7" t="s">
        <v>11</v>
      </c>
      <c r="H1958" s="6" t="s">
        <v>11</v>
      </c>
      <c r="I1958" s="4" t="s">
        <v>10</v>
      </c>
      <c r="J1958" s="4" t="s">
        <v>20</v>
      </c>
      <c r="K1958" s="4" t="s">
        <v>0</v>
      </c>
    </row>
    <row r="1959" spans="1:11" ht="15.75" customHeight="1" x14ac:dyDescent="0.2">
      <c r="A1959" s="1">
        <v>167</v>
      </c>
      <c r="B1959" s="4" t="s">
        <v>8</v>
      </c>
      <c r="C1959" s="4" t="s">
        <v>714</v>
      </c>
      <c r="D1959" s="4" t="s">
        <v>267</v>
      </c>
      <c r="E1959" s="4" t="s">
        <v>55</v>
      </c>
      <c r="F1959" s="4" t="s">
        <v>713</v>
      </c>
      <c r="G1959" s="7" t="str">
        <f>HYPERLINK("https://www.deccanchronicle.com/nation/crime/251218/cow-assaulted-in-andhra-pradesh-police-probing-if-its-sexual-assault.html","News")</f>
        <v>News</v>
      </c>
      <c r="H1959" s="6" t="s">
        <v>3</v>
      </c>
      <c r="I1959" s="4" t="s">
        <v>712</v>
      </c>
      <c r="J1959" s="4" t="s">
        <v>82</v>
      </c>
      <c r="K1959" s="4" t="s">
        <v>57</v>
      </c>
    </row>
    <row r="1960" spans="1:11" ht="15.75" hidden="1" customHeight="1" x14ac:dyDescent="0.2">
      <c r="B1960" s="4" t="s">
        <v>8</v>
      </c>
      <c r="C1960" s="4" t="s">
        <v>318</v>
      </c>
      <c r="D1960" s="4" t="s">
        <v>317</v>
      </c>
      <c r="E1960" s="4" t="s">
        <v>5</v>
      </c>
      <c r="F1960" s="4" t="s">
        <v>711</v>
      </c>
      <c r="G1960" s="7" t="s">
        <v>11</v>
      </c>
      <c r="H1960" s="6" t="s">
        <v>11</v>
      </c>
      <c r="I1960" s="4" t="s">
        <v>21</v>
      </c>
      <c r="J1960" s="4" t="s">
        <v>1</v>
      </c>
      <c r="K1960" s="4" t="s">
        <v>19</v>
      </c>
    </row>
    <row r="1961" spans="1:11" ht="15.75" hidden="1" customHeight="1" x14ac:dyDescent="0.2">
      <c r="B1961" s="4" t="s">
        <v>8</v>
      </c>
      <c r="C1961" s="4" t="s">
        <v>449</v>
      </c>
      <c r="D1961" s="4" t="s">
        <v>24</v>
      </c>
      <c r="E1961" s="4" t="s">
        <v>81</v>
      </c>
      <c r="F1961" s="4" t="s">
        <v>710</v>
      </c>
      <c r="G1961" s="4" t="s">
        <v>447</v>
      </c>
      <c r="H1961" s="6" t="s">
        <v>272</v>
      </c>
      <c r="I1961" s="4" t="s">
        <v>2</v>
      </c>
      <c r="J1961" s="4" t="s">
        <v>20</v>
      </c>
      <c r="K1961" s="4" t="s">
        <v>0</v>
      </c>
    </row>
    <row r="1962" spans="1:11" ht="15.75" hidden="1" customHeight="1" x14ac:dyDescent="0.2">
      <c r="B1962" s="4" t="s">
        <v>8</v>
      </c>
      <c r="C1962" s="4" t="s">
        <v>534</v>
      </c>
      <c r="D1962" s="4" t="s">
        <v>71</v>
      </c>
      <c r="E1962" s="4" t="s">
        <v>17</v>
      </c>
      <c r="F1962" s="4" t="s">
        <v>709</v>
      </c>
      <c r="G1962" s="7" t="s">
        <v>11</v>
      </c>
      <c r="H1962" s="6" t="s">
        <v>11</v>
      </c>
      <c r="I1962" s="4" t="s">
        <v>10</v>
      </c>
      <c r="J1962" s="4" t="s">
        <v>15</v>
      </c>
      <c r="K1962" s="4" t="s">
        <v>0</v>
      </c>
    </row>
    <row r="1963" spans="1:11" ht="15.75" customHeight="1" x14ac:dyDescent="0.2">
      <c r="A1963" s="1">
        <v>168</v>
      </c>
      <c r="B1963" s="4" t="s">
        <v>8</v>
      </c>
      <c r="C1963" s="4" t="s">
        <v>111</v>
      </c>
      <c r="D1963" s="4" t="s">
        <v>24</v>
      </c>
      <c r="E1963" s="4" t="s">
        <v>23</v>
      </c>
      <c r="F1963" s="4" t="s">
        <v>708</v>
      </c>
      <c r="G1963" s="7" t="s">
        <v>707</v>
      </c>
      <c r="H1963" s="6" t="s">
        <v>3</v>
      </c>
      <c r="I1963" s="4" t="s">
        <v>10</v>
      </c>
      <c r="J1963" s="4" t="s">
        <v>20</v>
      </c>
      <c r="K1963" s="4" t="s">
        <v>0</v>
      </c>
    </row>
    <row r="1964" spans="1:11" ht="15.75" customHeight="1" x14ac:dyDescent="0.2">
      <c r="A1964" s="1">
        <v>169</v>
      </c>
      <c r="B1964" s="4" t="s">
        <v>8</v>
      </c>
      <c r="C1964" s="4" t="s">
        <v>706</v>
      </c>
      <c r="D1964" s="4" t="s">
        <v>18</v>
      </c>
      <c r="E1964" s="4" t="s">
        <v>5</v>
      </c>
      <c r="F1964" s="4" t="s">
        <v>705</v>
      </c>
      <c r="G1964" s="7" t="str">
        <f>HYPERLINK("https://timesofindia.indiatimes.com/city/nagpur/tiger-dies-of-suspected-poisoning-leopard-succumbs/articleshow/67315273.cms","News")</f>
        <v>News</v>
      </c>
      <c r="H1964" s="6" t="s">
        <v>3</v>
      </c>
      <c r="I1964" s="4" t="s">
        <v>21</v>
      </c>
      <c r="J1964" s="4" t="s">
        <v>20</v>
      </c>
      <c r="K1964" s="4" t="s">
        <v>49</v>
      </c>
    </row>
    <row r="1965" spans="1:11" ht="15.75" hidden="1" customHeight="1" x14ac:dyDescent="0.2">
      <c r="B1965" s="4" t="s">
        <v>8</v>
      </c>
      <c r="C1965" s="4" t="s">
        <v>704</v>
      </c>
      <c r="D1965" s="4" t="s">
        <v>18</v>
      </c>
      <c r="E1965" s="4" t="s">
        <v>5</v>
      </c>
      <c r="F1965" s="4" t="s">
        <v>703</v>
      </c>
      <c r="G1965" s="7" t="s">
        <v>702</v>
      </c>
      <c r="H1965" s="6" t="s">
        <v>11</v>
      </c>
      <c r="I1965" s="4" t="s">
        <v>10</v>
      </c>
      <c r="J1965" s="4" t="s">
        <v>15</v>
      </c>
      <c r="K1965" s="4" t="s">
        <v>0</v>
      </c>
    </row>
    <row r="1966" spans="1:11" ht="15.75" hidden="1" customHeight="1" x14ac:dyDescent="0.2">
      <c r="B1966" s="4" t="s">
        <v>8</v>
      </c>
      <c r="C1966" s="4" t="s">
        <v>104</v>
      </c>
      <c r="D1966" s="4" t="s">
        <v>18</v>
      </c>
      <c r="E1966" s="4" t="s">
        <v>23</v>
      </c>
      <c r="F1966" s="4" t="s">
        <v>701</v>
      </c>
      <c r="G1966" s="7" t="str">
        <f>HYPERLINK("https://www.facebook.com/photo.php?fbid=2651796324906395&amp;set=a.121658017920251&amp;type=3&amp;theater&amp;ifg=1","Social media")</f>
        <v>Social media</v>
      </c>
      <c r="H1966" s="6" t="s">
        <v>11</v>
      </c>
      <c r="I1966" s="4" t="s">
        <v>10</v>
      </c>
      <c r="J1966" s="4" t="s">
        <v>82</v>
      </c>
      <c r="K1966" s="4" t="s">
        <v>0</v>
      </c>
    </row>
    <row r="1967" spans="1:11" ht="15.75" customHeight="1" x14ac:dyDescent="0.2">
      <c r="A1967" s="1">
        <v>170</v>
      </c>
      <c r="B1967" s="4" t="s">
        <v>8</v>
      </c>
      <c r="C1967" s="4" t="s">
        <v>700</v>
      </c>
      <c r="D1967" s="4" t="s">
        <v>317</v>
      </c>
      <c r="E1967" s="4" t="s">
        <v>23</v>
      </c>
      <c r="F1967" s="4" t="s">
        <v>699</v>
      </c>
      <c r="G1967" s="7" t="str">
        <f>HYPERLINK("https://www.timesnownews.com/mirror-now/crime/article/meghalaya-west-garo-hills-sengkud-sangma-protected-species-rhesus-macaque-monkey-peta/340114","News")</f>
        <v>News</v>
      </c>
      <c r="H1967" s="6" t="s">
        <v>3</v>
      </c>
      <c r="I1967" s="4" t="s">
        <v>21</v>
      </c>
      <c r="J1967" s="4" t="s">
        <v>1</v>
      </c>
      <c r="K1967" s="4" t="s">
        <v>19</v>
      </c>
    </row>
    <row r="1968" spans="1:11" ht="15.75" hidden="1" customHeight="1" x14ac:dyDescent="0.2">
      <c r="B1968" s="4" t="s">
        <v>8</v>
      </c>
      <c r="C1968" s="4" t="s">
        <v>228</v>
      </c>
      <c r="D1968" s="4" t="s">
        <v>36</v>
      </c>
      <c r="E1968" s="4" t="s">
        <v>17</v>
      </c>
      <c r="F1968" s="4" t="s">
        <v>698</v>
      </c>
      <c r="G1968" s="4" t="s">
        <v>273</v>
      </c>
      <c r="H1968" s="6" t="s">
        <v>272</v>
      </c>
      <c r="I1968" s="4" t="s">
        <v>10</v>
      </c>
      <c r="J1968" s="4" t="s">
        <v>15</v>
      </c>
      <c r="K1968" s="4" t="s">
        <v>0</v>
      </c>
    </row>
    <row r="1969" spans="1:11" ht="15.75" hidden="1" customHeight="1" x14ac:dyDescent="0.2">
      <c r="B1969" s="4" t="s">
        <v>8</v>
      </c>
      <c r="C1969" s="4" t="s">
        <v>697</v>
      </c>
      <c r="D1969" s="4" t="s">
        <v>36</v>
      </c>
      <c r="E1969" s="4" t="s">
        <v>159</v>
      </c>
      <c r="F1969" s="4" t="s">
        <v>696</v>
      </c>
      <c r="G1969" s="4" t="s">
        <v>289</v>
      </c>
      <c r="H1969" s="6" t="s">
        <v>272</v>
      </c>
      <c r="I1969" s="4" t="s">
        <v>292</v>
      </c>
      <c r="J1969" s="4" t="s">
        <v>50</v>
      </c>
      <c r="K1969" s="4" t="s">
        <v>279</v>
      </c>
    </row>
    <row r="1970" spans="1:11" ht="15.75" hidden="1" customHeight="1" x14ac:dyDescent="0.2">
      <c r="B1970" s="4" t="s">
        <v>8</v>
      </c>
      <c r="C1970" s="4" t="s">
        <v>449</v>
      </c>
      <c r="D1970" s="4" t="s">
        <v>24</v>
      </c>
      <c r="E1970" s="4" t="s">
        <v>27</v>
      </c>
      <c r="F1970" s="4" t="s">
        <v>695</v>
      </c>
      <c r="G1970" s="4" t="s">
        <v>447</v>
      </c>
      <c r="H1970" s="6" t="s">
        <v>272</v>
      </c>
      <c r="I1970" s="4" t="s">
        <v>2</v>
      </c>
      <c r="J1970" s="4" t="s">
        <v>20</v>
      </c>
      <c r="K1970" s="4" t="s">
        <v>75</v>
      </c>
    </row>
    <row r="1971" spans="1:11" ht="15.75" hidden="1" customHeight="1" x14ac:dyDescent="0.2">
      <c r="B1971" s="4" t="s">
        <v>8</v>
      </c>
      <c r="C1971" s="4" t="s">
        <v>89</v>
      </c>
      <c r="D1971" s="4" t="s">
        <v>88</v>
      </c>
      <c r="E1971" s="4" t="s">
        <v>17</v>
      </c>
      <c r="F1971" s="4" t="s">
        <v>694</v>
      </c>
      <c r="G1971" s="7" t="s">
        <v>11</v>
      </c>
      <c r="H1971" s="6" t="s">
        <v>11</v>
      </c>
      <c r="I1971" s="4" t="s">
        <v>10</v>
      </c>
      <c r="J1971" s="4" t="s">
        <v>15</v>
      </c>
      <c r="K1971" s="4" t="s">
        <v>0</v>
      </c>
    </row>
    <row r="1972" spans="1:11" ht="15.75" customHeight="1" x14ac:dyDescent="0.2">
      <c r="A1972" s="1">
        <v>171</v>
      </c>
      <c r="B1972" s="4" t="s">
        <v>8</v>
      </c>
      <c r="C1972" s="4" t="s">
        <v>693</v>
      </c>
      <c r="D1972" s="4" t="s">
        <v>97</v>
      </c>
      <c r="E1972" s="4" t="s">
        <v>159</v>
      </c>
      <c r="F1972" s="4" t="s">
        <v>692</v>
      </c>
      <c r="G1972" s="7" t="s">
        <v>3</v>
      </c>
      <c r="H1972" s="6" t="s">
        <v>3</v>
      </c>
      <c r="I1972" s="4" t="s">
        <v>197</v>
      </c>
      <c r="J1972" s="4" t="s">
        <v>157</v>
      </c>
      <c r="K1972" s="4" t="s">
        <v>446</v>
      </c>
    </row>
    <row r="1973" spans="1:11" ht="15.75" hidden="1" customHeight="1" x14ac:dyDescent="0.2">
      <c r="B1973" s="4" t="s">
        <v>8</v>
      </c>
      <c r="C1973" s="4" t="s">
        <v>594</v>
      </c>
      <c r="D1973" s="4" t="s">
        <v>66</v>
      </c>
      <c r="E1973" s="4" t="s">
        <v>17</v>
      </c>
      <c r="F1973" s="4" t="s">
        <v>691</v>
      </c>
      <c r="G1973" s="7" t="str">
        <f>HYPERLINK("https://www.facebook.com/pfakollam/posts/2001276723259386","Social media")</f>
        <v>Social media</v>
      </c>
      <c r="H1973" s="6" t="s">
        <v>11</v>
      </c>
      <c r="I1973" s="4" t="s">
        <v>10</v>
      </c>
      <c r="J1973" s="4" t="s">
        <v>20</v>
      </c>
      <c r="K1973" s="4" t="s">
        <v>0</v>
      </c>
    </row>
    <row r="1974" spans="1:11" ht="15.75" customHeight="1" x14ac:dyDescent="0.2">
      <c r="A1974" s="1">
        <v>172</v>
      </c>
      <c r="B1974" s="4" t="s">
        <v>8</v>
      </c>
      <c r="C1974" s="4" t="s">
        <v>72</v>
      </c>
      <c r="D1974" s="4" t="s">
        <v>71</v>
      </c>
      <c r="E1974" s="4" t="s">
        <v>23</v>
      </c>
      <c r="F1974" s="4" t="s">
        <v>690</v>
      </c>
      <c r="G1974" s="7" t="s">
        <v>3</v>
      </c>
      <c r="H1974" s="6" t="s">
        <v>3</v>
      </c>
      <c r="I1974" s="4" t="s">
        <v>21</v>
      </c>
      <c r="J1974" s="4" t="s">
        <v>20</v>
      </c>
      <c r="K1974" s="4" t="s">
        <v>443</v>
      </c>
    </row>
    <row r="1975" spans="1:11" ht="15.75" customHeight="1" x14ac:dyDescent="0.2">
      <c r="A1975" s="1">
        <v>173</v>
      </c>
      <c r="B1975" s="4" t="s">
        <v>8</v>
      </c>
      <c r="C1975" s="4" t="s">
        <v>89</v>
      </c>
      <c r="D1975" s="4" t="s">
        <v>88</v>
      </c>
      <c r="E1975" s="4" t="s">
        <v>81</v>
      </c>
      <c r="F1975" s="4" t="s">
        <v>689</v>
      </c>
      <c r="G1975" s="7" t="str">
        <f>HYPERLINK("https://timesofindia.indiatimes.com/city/kolkata/torture-murder-of-pups-shocks-kolkatas-conscience/articleshow/67519120.cms","News")</f>
        <v>News</v>
      </c>
      <c r="H1975" s="6" t="s">
        <v>3</v>
      </c>
      <c r="I1975" s="4" t="s">
        <v>10</v>
      </c>
      <c r="J1975" s="4" t="s">
        <v>20</v>
      </c>
      <c r="K1975" s="7" t="s">
        <v>0</v>
      </c>
    </row>
    <row r="1976" spans="1:11" ht="15.75" hidden="1" customHeight="1" x14ac:dyDescent="0.2">
      <c r="B1976" s="4" t="s">
        <v>8</v>
      </c>
      <c r="C1976" s="4" t="s">
        <v>89</v>
      </c>
      <c r="D1976" s="4" t="s">
        <v>88</v>
      </c>
      <c r="E1976" s="4" t="s">
        <v>5</v>
      </c>
      <c r="F1976" s="4" t="s">
        <v>688</v>
      </c>
      <c r="G1976" s="7" t="s">
        <v>11</v>
      </c>
      <c r="H1976" s="6" t="s">
        <v>11</v>
      </c>
      <c r="I1976" s="4" t="s">
        <v>10</v>
      </c>
      <c r="J1976" s="4" t="s">
        <v>20</v>
      </c>
      <c r="K1976" s="4" t="s">
        <v>0</v>
      </c>
    </row>
    <row r="1977" spans="1:11" ht="15.75" hidden="1" customHeight="1" x14ac:dyDescent="0.2">
      <c r="B1977" s="4" t="s">
        <v>8</v>
      </c>
      <c r="C1977" s="4" t="s">
        <v>89</v>
      </c>
      <c r="D1977" s="4" t="s">
        <v>88</v>
      </c>
      <c r="E1977" s="4" t="s">
        <v>5</v>
      </c>
      <c r="F1977" s="4" t="s">
        <v>687</v>
      </c>
      <c r="G1977" s="7" t="s">
        <v>11</v>
      </c>
      <c r="H1977" s="6" t="s">
        <v>11</v>
      </c>
      <c r="I1977" s="4" t="s">
        <v>10</v>
      </c>
      <c r="J1977" s="4" t="s">
        <v>15</v>
      </c>
      <c r="K1977" s="4" t="s">
        <v>0</v>
      </c>
    </row>
    <row r="1978" spans="1:11" ht="15.75" customHeight="1" x14ac:dyDescent="0.2">
      <c r="A1978" s="1">
        <v>174</v>
      </c>
      <c r="B1978" s="4" t="s">
        <v>8</v>
      </c>
      <c r="C1978" s="4" t="s">
        <v>89</v>
      </c>
      <c r="D1978" s="4" t="s">
        <v>88</v>
      </c>
      <c r="E1978" s="4" t="s">
        <v>27</v>
      </c>
      <c r="F1978" s="4" t="s">
        <v>686</v>
      </c>
      <c r="G1978" s="7" t="str">
        <f>HYPERLINK("https://timesofindia.indiatimes.com/city/kolkata/16-puppies-pounded-to-death-at-kolkata-hospital/articleshow/67534228.cms","News")</f>
        <v>News</v>
      </c>
      <c r="H1978" s="6" t="s">
        <v>3</v>
      </c>
      <c r="I1978" s="4" t="s">
        <v>10</v>
      </c>
      <c r="J1978" s="4" t="s">
        <v>20</v>
      </c>
      <c r="K1978" s="4" t="s">
        <v>0</v>
      </c>
    </row>
    <row r="1979" spans="1:11" ht="15.75" hidden="1" customHeight="1" x14ac:dyDescent="0.2">
      <c r="B1979" s="4" t="s">
        <v>8</v>
      </c>
      <c r="C1979" s="4" t="s">
        <v>228</v>
      </c>
      <c r="D1979" s="4" t="s">
        <v>36</v>
      </c>
      <c r="E1979" s="4" t="s">
        <v>159</v>
      </c>
      <c r="F1979" s="4" t="s">
        <v>685</v>
      </c>
      <c r="G1979" s="4" t="s">
        <v>289</v>
      </c>
      <c r="H1979" s="6" t="s">
        <v>272</v>
      </c>
      <c r="I1979" s="4" t="s">
        <v>292</v>
      </c>
      <c r="J1979" s="4" t="s">
        <v>50</v>
      </c>
      <c r="K1979" s="4" t="s">
        <v>538</v>
      </c>
    </row>
    <row r="1980" spans="1:11" ht="15.75" customHeight="1" x14ac:dyDescent="0.2">
      <c r="A1980" s="1">
        <v>175</v>
      </c>
      <c r="B1980" s="4" t="s">
        <v>8</v>
      </c>
      <c r="C1980" s="4" t="s">
        <v>684</v>
      </c>
      <c r="D1980" s="4" t="s">
        <v>13</v>
      </c>
      <c r="E1980" s="4" t="s">
        <v>81</v>
      </c>
      <c r="F1980" s="4" t="s">
        <v>683</v>
      </c>
      <c r="G1980" s="7" t="str">
        <f>HYPERLINK("https://www.latestly.com/india/news/bihar-3-month-pregnant-goat-dies-after-being-raped-by-drunk-labourer-in-rural-patna-593467.html","News")</f>
        <v>News</v>
      </c>
      <c r="H1980" s="6" t="s">
        <v>3</v>
      </c>
      <c r="I1980" s="4" t="s">
        <v>109</v>
      </c>
      <c r="J1980" s="4" t="s">
        <v>82</v>
      </c>
      <c r="K1980" s="4" t="s">
        <v>432</v>
      </c>
    </row>
    <row r="1981" spans="1:11" ht="15.75" customHeight="1" x14ac:dyDescent="0.2">
      <c r="A1981" s="1">
        <v>176</v>
      </c>
      <c r="B1981" s="4" t="s">
        <v>8</v>
      </c>
      <c r="C1981" s="4" t="s">
        <v>104</v>
      </c>
      <c r="D1981" s="4" t="s">
        <v>18</v>
      </c>
      <c r="E1981" s="4" t="s">
        <v>81</v>
      </c>
      <c r="F1981" s="4" t="s">
        <v>682</v>
      </c>
      <c r="G1981" s="7" t="s">
        <v>3</v>
      </c>
      <c r="H1981" s="6" t="s">
        <v>3</v>
      </c>
      <c r="I1981" s="4" t="s">
        <v>79</v>
      </c>
      <c r="J1981" s="4" t="s">
        <v>20</v>
      </c>
      <c r="K1981" s="4" t="s">
        <v>75</v>
      </c>
    </row>
    <row r="1982" spans="1:11" ht="15.75" customHeight="1" x14ac:dyDescent="0.2">
      <c r="A1982" s="1">
        <v>177</v>
      </c>
      <c r="B1982" s="4" t="s">
        <v>8</v>
      </c>
      <c r="C1982" s="4" t="s">
        <v>72</v>
      </c>
      <c r="D1982" s="4" t="s">
        <v>71</v>
      </c>
      <c r="E1982" s="4" t="s">
        <v>81</v>
      </c>
      <c r="F1982" s="4" t="s">
        <v>681</v>
      </c>
      <c r="G1982" s="7" t="s">
        <v>3</v>
      </c>
      <c r="H1982" s="6" t="s">
        <v>3</v>
      </c>
      <c r="I1982" s="4" t="s">
        <v>10</v>
      </c>
      <c r="J1982" s="4" t="s">
        <v>20</v>
      </c>
      <c r="K1982" s="4" t="s">
        <v>0</v>
      </c>
    </row>
    <row r="1983" spans="1:11" ht="15.75" hidden="1" customHeight="1" x14ac:dyDescent="0.2">
      <c r="B1983" s="4" t="s">
        <v>8</v>
      </c>
      <c r="C1983" s="4" t="s">
        <v>228</v>
      </c>
      <c r="D1983" s="4" t="s">
        <v>36</v>
      </c>
      <c r="E1983" s="4" t="s">
        <v>17</v>
      </c>
      <c r="F1983" s="4" t="s">
        <v>680</v>
      </c>
      <c r="G1983" s="4" t="s">
        <v>273</v>
      </c>
      <c r="H1983" s="6" t="s">
        <v>272</v>
      </c>
      <c r="I1983" s="4" t="s">
        <v>10</v>
      </c>
      <c r="J1983" s="4" t="s">
        <v>15</v>
      </c>
      <c r="K1983" s="4" t="s">
        <v>0</v>
      </c>
    </row>
    <row r="1984" spans="1:11" ht="15.75" customHeight="1" x14ac:dyDescent="0.2">
      <c r="A1984" s="1">
        <v>178</v>
      </c>
      <c r="B1984" s="4" t="s">
        <v>8</v>
      </c>
      <c r="C1984" s="4" t="s">
        <v>104</v>
      </c>
      <c r="D1984" s="4" t="s">
        <v>18</v>
      </c>
      <c r="E1984" s="4" t="s">
        <v>81</v>
      </c>
      <c r="F1984" s="4" t="s">
        <v>679</v>
      </c>
      <c r="G1984" s="7" t="str">
        <f>HYPERLINK("https://www.timesnownews.com/mirror-now/society/article/mumbai-animal-cruelty-woman-beats-dog-to-death-with-washing-bat-for-vomiting-on-her-door/352420","News")</f>
        <v>News</v>
      </c>
      <c r="H1984" s="6" t="s">
        <v>3</v>
      </c>
      <c r="I1984" s="4" t="s">
        <v>10</v>
      </c>
      <c r="J1984" s="4" t="s">
        <v>20</v>
      </c>
      <c r="K1984" s="4" t="s">
        <v>0</v>
      </c>
    </row>
    <row r="1985" spans="1:11" ht="15.75" customHeight="1" x14ac:dyDescent="0.2">
      <c r="A1985" s="1">
        <v>179</v>
      </c>
      <c r="B1985" s="4" t="s">
        <v>8</v>
      </c>
      <c r="C1985" s="4" t="s">
        <v>678</v>
      </c>
      <c r="D1985" s="4" t="s">
        <v>18</v>
      </c>
      <c r="E1985" s="4" t="s">
        <v>5</v>
      </c>
      <c r="F1985" s="4" t="s">
        <v>677</v>
      </c>
      <c r="G1985" s="7" t="str">
        <f>HYPERLINK("https://www.mid-day.com/articles/hanuman-langur-shot-with-an-air-rifle-in-raigad/405532","News")</f>
        <v>News</v>
      </c>
      <c r="H1985" s="6" t="s">
        <v>3</v>
      </c>
      <c r="I1985" s="4" t="s">
        <v>86</v>
      </c>
      <c r="J1985" s="4" t="s">
        <v>20</v>
      </c>
      <c r="K1985" s="4" t="s">
        <v>355</v>
      </c>
    </row>
    <row r="1986" spans="1:11" ht="15.75" hidden="1" customHeight="1" x14ac:dyDescent="0.2">
      <c r="B1986" s="4" t="s">
        <v>8</v>
      </c>
      <c r="C1986" s="4" t="s">
        <v>676</v>
      </c>
      <c r="D1986" s="4" t="s">
        <v>28</v>
      </c>
      <c r="E1986" s="4" t="s">
        <v>17</v>
      </c>
      <c r="F1986" s="4" t="s">
        <v>675</v>
      </c>
      <c r="G1986" s="7" t="s">
        <v>11</v>
      </c>
      <c r="H1986" s="6" t="s">
        <v>11</v>
      </c>
      <c r="I1986" s="4" t="s">
        <v>10</v>
      </c>
      <c r="J1986" s="4" t="s">
        <v>15</v>
      </c>
      <c r="K1986" s="4" t="s">
        <v>0</v>
      </c>
    </row>
    <row r="1987" spans="1:11" ht="15.75" customHeight="1" x14ac:dyDescent="0.2">
      <c r="A1987" s="1">
        <v>180</v>
      </c>
      <c r="B1987" s="4" t="s">
        <v>8</v>
      </c>
      <c r="C1987" s="4" t="s">
        <v>421</v>
      </c>
      <c r="D1987" s="4" t="s">
        <v>42</v>
      </c>
      <c r="E1987" s="4" t="s">
        <v>23</v>
      </c>
      <c r="F1987" s="4" t="s">
        <v>674</v>
      </c>
      <c r="G1987" s="7" t="s">
        <v>3</v>
      </c>
      <c r="H1987" s="6" t="s">
        <v>3</v>
      </c>
      <c r="I1987" s="4" t="s">
        <v>21</v>
      </c>
      <c r="J1987" s="4" t="s">
        <v>20</v>
      </c>
      <c r="K1987" s="4" t="s">
        <v>49</v>
      </c>
    </row>
    <row r="1988" spans="1:11" ht="15.75" hidden="1" customHeight="1" x14ac:dyDescent="0.2">
      <c r="B1988" s="4" t="s">
        <v>8</v>
      </c>
      <c r="C1988" s="4" t="s">
        <v>228</v>
      </c>
      <c r="D1988" s="4" t="s">
        <v>36</v>
      </c>
      <c r="E1988" s="4" t="s">
        <v>5</v>
      </c>
      <c r="F1988" s="4" t="s">
        <v>673</v>
      </c>
      <c r="G1988" s="7" t="str">
        <f>HYPERLINK("https://www.instagram.com/p/Bsxj7m8lO_I/","Social media")</f>
        <v>Social media</v>
      </c>
      <c r="H1988" s="6" t="s">
        <v>11</v>
      </c>
      <c r="I1988" s="4" t="s">
        <v>10</v>
      </c>
      <c r="J1988" s="4" t="s">
        <v>15</v>
      </c>
      <c r="K1988" s="4" t="s">
        <v>0</v>
      </c>
    </row>
    <row r="1989" spans="1:11" ht="15.75" customHeight="1" x14ac:dyDescent="0.2">
      <c r="A1989" s="1">
        <v>181</v>
      </c>
      <c r="B1989" s="4" t="s">
        <v>8</v>
      </c>
      <c r="C1989" s="4" t="s">
        <v>111</v>
      </c>
      <c r="D1989" s="4" t="s">
        <v>24</v>
      </c>
      <c r="E1989" s="4" t="s">
        <v>23</v>
      </c>
      <c r="F1989" s="4" t="s">
        <v>672</v>
      </c>
      <c r="G1989" s="7" t="str">
        <f>HYPERLINK(" https://timesofindia.indiatimes.com/city/hyderabad/hyderabad-man-mows-down-puppies-booked/articleshow/67619235.cms","News")</f>
        <v>News</v>
      </c>
      <c r="H1989" s="6" t="s">
        <v>3</v>
      </c>
      <c r="I1989" s="4" t="s">
        <v>10</v>
      </c>
      <c r="J1989" s="4" t="s">
        <v>20</v>
      </c>
      <c r="K1989" s="4" t="s">
        <v>0</v>
      </c>
    </row>
    <row r="1990" spans="1:11" ht="15.75" customHeight="1" x14ac:dyDescent="0.2">
      <c r="A1990" s="1">
        <v>182</v>
      </c>
      <c r="B1990" s="4" t="s">
        <v>8</v>
      </c>
      <c r="C1990" s="4" t="s">
        <v>130</v>
      </c>
      <c r="D1990" s="4" t="s">
        <v>77</v>
      </c>
      <c r="E1990" s="4" t="s">
        <v>23</v>
      </c>
      <c r="F1990" s="4" t="s">
        <v>671</v>
      </c>
      <c r="G1990" s="7" t="str">
        <f>HYPERLINK("https://timesofindia.indiatimes.com/city/chennai/man-raping-dog-rs-1-lakh-reward-announced-for-identifying-culprit/articleshow/69959875.cms","News")</f>
        <v>News</v>
      </c>
      <c r="H1990" s="6" t="s">
        <v>3</v>
      </c>
      <c r="I1990" s="4" t="s">
        <v>10</v>
      </c>
      <c r="J1990" s="4" t="s">
        <v>82</v>
      </c>
      <c r="K1990" s="4" t="s">
        <v>0</v>
      </c>
    </row>
    <row r="1991" spans="1:11" ht="15.75" hidden="1" customHeight="1" x14ac:dyDescent="0.2">
      <c r="B1991" s="4" t="s">
        <v>8</v>
      </c>
      <c r="C1991" s="4" t="s">
        <v>228</v>
      </c>
      <c r="D1991" s="4" t="s">
        <v>36</v>
      </c>
      <c r="E1991" s="4" t="s">
        <v>17</v>
      </c>
      <c r="F1991" s="4" t="s">
        <v>670</v>
      </c>
      <c r="G1991" s="7" t="str">
        <f>HYPERLINK("https://www.facebook.com/cupaindia/photos/a.10153675558824733/10157453188859733/?type=3&amp;theater","Social Media")</f>
        <v>Social Media</v>
      </c>
      <c r="H1991" s="6" t="s">
        <v>11</v>
      </c>
      <c r="I1991" s="4" t="s">
        <v>2</v>
      </c>
      <c r="J1991" s="4" t="s">
        <v>15</v>
      </c>
      <c r="K1991" s="4" t="s">
        <v>0</v>
      </c>
    </row>
    <row r="1992" spans="1:11" ht="15.75" customHeight="1" x14ac:dyDescent="0.2">
      <c r="A1992" s="1">
        <v>183</v>
      </c>
      <c r="B1992" s="4" t="s">
        <v>8</v>
      </c>
      <c r="C1992" s="4" t="s">
        <v>321</v>
      </c>
      <c r="D1992" s="4" t="s">
        <v>42</v>
      </c>
      <c r="E1992" s="4" t="s">
        <v>23</v>
      </c>
      <c r="F1992" s="4" t="s">
        <v>669</v>
      </c>
      <c r="G1992" s="7" t="s">
        <v>3</v>
      </c>
      <c r="H1992" s="6" t="s">
        <v>3</v>
      </c>
      <c r="I1992" s="4" t="s">
        <v>10</v>
      </c>
      <c r="J1992" s="4" t="s">
        <v>50</v>
      </c>
      <c r="K1992" s="4" t="s">
        <v>33</v>
      </c>
    </row>
    <row r="1993" spans="1:11" ht="15.75" hidden="1" customHeight="1" x14ac:dyDescent="0.2">
      <c r="B1993" s="4" t="s">
        <v>8</v>
      </c>
      <c r="C1993" s="4" t="s">
        <v>139</v>
      </c>
      <c r="D1993" s="4" t="s">
        <v>18</v>
      </c>
      <c r="E1993" s="4" t="s">
        <v>17</v>
      </c>
      <c r="F1993" s="4" t="s">
        <v>668</v>
      </c>
      <c r="G1993" s="7" t="str">
        <f>HYPERLINK("https://www.facebook.com/resqct/posts/10156859063721101","Social media")</f>
        <v>Social media</v>
      </c>
      <c r="H1993" s="6" t="s">
        <v>11</v>
      </c>
      <c r="I1993" s="4" t="s">
        <v>10</v>
      </c>
      <c r="J1993" s="4" t="s">
        <v>15</v>
      </c>
      <c r="K1993" s="4" t="s">
        <v>0</v>
      </c>
    </row>
    <row r="1994" spans="1:11" ht="15.75" hidden="1" customHeight="1" x14ac:dyDescent="0.2">
      <c r="B1994" s="4" t="s">
        <v>8</v>
      </c>
      <c r="C1994" s="4" t="s">
        <v>566</v>
      </c>
      <c r="D1994" s="4" t="s">
        <v>42</v>
      </c>
      <c r="E1994" s="4" t="s">
        <v>5</v>
      </c>
      <c r="F1994" s="4" t="s">
        <v>667</v>
      </c>
      <c r="G1994" s="7" t="s">
        <v>11</v>
      </c>
      <c r="H1994" s="6" t="s">
        <v>11</v>
      </c>
      <c r="I1994" s="4" t="s">
        <v>10</v>
      </c>
      <c r="J1994" s="4" t="s">
        <v>15</v>
      </c>
      <c r="K1994" s="4" t="s">
        <v>0</v>
      </c>
    </row>
    <row r="1995" spans="1:11" ht="15.75" hidden="1" customHeight="1" x14ac:dyDescent="0.2">
      <c r="B1995" s="4" t="s">
        <v>8</v>
      </c>
      <c r="C1995" s="4" t="s">
        <v>150</v>
      </c>
      <c r="D1995" s="4" t="s">
        <v>150</v>
      </c>
      <c r="E1995" s="4" t="s">
        <v>5</v>
      </c>
      <c r="F1995" s="4" t="s">
        <v>666</v>
      </c>
      <c r="G1995" s="7" t="s">
        <v>11</v>
      </c>
      <c r="H1995" s="6" t="s">
        <v>11</v>
      </c>
      <c r="I1995" s="4" t="s">
        <v>21</v>
      </c>
      <c r="J1995" s="4" t="s">
        <v>15</v>
      </c>
      <c r="K1995" s="4" t="s">
        <v>288</v>
      </c>
    </row>
    <row r="1996" spans="1:11" ht="15.75" customHeight="1" x14ac:dyDescent="0.2">
      <c r="A1996" s="1">
        <v>184</v>
      </c>
      <c r="B1996" s="4" t="s">
        <v>8</v>
      </c>
      <c r="C1996" s="4" t="s">
        <v>141</v>
      </c>
      <c r="D1996" s="4" t="s">
        <v>71</v>
      </c>
      <c r="E1996" s="4" t="s">
        <v>55</v>
      </c>
      <c r="F1996" s="4" t="s">
        <v>665</v>
      </c>
      <c r="G1996" s="7" t="s">
        <v>3</v>
      </c>
      <c r="H1996" s="6" t="s">
        <v>3</v>
      </c>
      <c r="I1996" s="4" t="s">
        <v>197</v>
      </c>
      <c r="J1996" s="4" t="s">
        <v>1</v>
      </c>
      <c r="K1996" s="4" t="s">
        <v>432</v>
      </c>
    </row>
    <row r="1997" spans="1:11" ht="15.75" hidden="1" customHeight="1" x14ac:dyDescent="0.2">
      <c r="B1997" s="4" t="s">
        <v>8</v>
      </c>
      <c r="C1997" s="4" t="s">
        <v>664</v>
      </c>
      <c r="D1997" s="4" t="s">
        <v>236</v>
      </c>
      <c r="E1997" s="4" t="s">
        <v>5</v>
      </c>
      <c r="F1997" s="4" t="s">
        <v>663</v>
      </c>
      <c r="G1997" s="7" t="s">
        <v>11</v>
      </c>
      <c r="H1997" s="6" t="s">
        <v>11</v>
      </c>
      <c r="I1997" s="4" t="s">
        <v>2</v>
      </c>
      <c r="J1997" s="4" t="s">
        <v>15</v>
      </c>
      <c r="K1997" s="4" t="s">
        <v>0</v>
      </c>
    </row>
    <row r="1998" spans="1:11" ht="15.75" hidden="1" customHeight="1" x14ac:dyDescent="0.2">
      <c r="B1998" s="4" t="s">
        <v>8</v>
      </c>
      <c r="C1998" s="4" t="s">
        <v>228</v>
      </c>
      <c r="D1998" s="4" t="s">
        <v>36</v>
      </c>
      <c r="E1998" s="4" t="s">
        <v>17</v>
      </c>
      <c r="F1998" s="4" t="s">
        <v>662</v>
      </c>
      <c r="G1998" s="4" t="s">
        <v>273</v>
      </c>
      <c r="H1998" s="6" t="s">
        <v>272</v>
      </c>
      <c r="I1998" s="4" t="s">
        <v>10</v>
      </c>
      <c r="J1998" s="4" t="s">
        <v>15</v>
      </c>
      <c r="K1998" s="4" t="s">
        <v>0</v>
      </c>
    </row>
    <row r="1999" spans="1:11" ht="15.75" customHeight="1" x14ac:dyDescent="0.2">
      <c r="A1999" s="1">
        <v>185</v>
      </c>
      <c r="B1999" s="4" t="s">
        <v>8</v>
      </c>
      <c r="C1999" s="4" t="s">
        <v>150</v>
      </c>
      <c r="D1999" s="4" t="s">
        <v>150</v>
      </c>
      <c r="E1999" s="4" t="s">
        <v>27</v>
      </c>
      <c r="F1999" s="4" t="s">
        <v>661</v>
      </c>
      <c r="G1999" s="7" t="s">
        <v>199</v>
      </c>
      <c r="H1999" s="6" t="s">
        <v>3</v>
      </c>
      <c r="I1999" s="4" t="s">
        <v>10</v>
      </c>
      <c r="J1999" s="4" t="s">
        <v>15</v>
      </c>
      <c r="K1999" s="4" t="s">
        <v>0</v>
      </c>
    </row>
    <row r="2000" spans="1:11" ht="15.75" customHeight="1" x14ac:dyDescent="0.2">
      <c r="A2000" s="1">
        <v>186</v>
      </c>
      <c r="B2000" s="4" t="s">
        <v>8</v>
      </c>
      <c r="C2000" s="4" t="s">
        <v>222</v>
      </c>
      <c r="D2000" s="4" t="s">
        <v>28</v>
      </c>
      <c r="E2000" s="4" t="s">
        <v>81</v>
      </c>
      <c r="F2000" s="4" t="s">
        <v>660</v>
      </c>
      <c r="G2000" s="7" t="s">
        <v>3</v>
      </c>
      <c r="H2000" s="6" t="s">
        <v>3</v>
      </c>
      <c r="I2000" s="4" t="s">
        <v>2</v>
      </c>
      <c r="J2000" s="4" t="s">
        <v>20</v>
      </c>
      <c r="K2000" s="4" t="s">
        <v>0</v>
      </c>
    </row>
    <row r="2001" spans="1:11" ht="15.75" hidden="1" customHeight="1" x14ac:dyDescent="0.2">
      <c r="B2001" s="4" t="s">
        <v>8</v>
      </c>
      <c r="C2001" s="4" t="s">
        <v>228</v>
      </c>
      <c r="D2001" s="4" t="s">
        <v>36</v>
      </c>
      <c r="E2001" s="4" t="s">
        <v>23</v>
      </c>
      <c r="F2001" s="4" t="s">
        <v>659</v>
      </c>
      <c r="G2001" s="4" t="s">
        <v>273</v>
      </c>
      <c r="H2001" s="6" t="s">
        <v>272</v>
      </c>
      <c r="I2001" s="4" t="s">
        <v>10</v>
      </c>
      <c r="J2001" s="4" t="s">
        <v>15</v>
      </c>
      <c r="K2001" s="4" t="s">
        <v>0</v>
      </c>
    </row>
    <row r="2002" spans="1:11" ht="15.75" hidden="1" customHeight="1" x14ac:dyDescent="0.2">
      <c r="B2002" s="4" t="s">
        <v>8</v>
      </c>
      <c r="C2002" s="4" t="s">
        <v>228</v>
      </c>
      <c r="D2002" s="4" t="s">
        <v>36</v>
      </c>
      <c r="E2002" s="4" t="s">
        <v>159</v>
      </c>
      <c r="F2002" s="4" t="s">
        <v>658</v>
      </c>
      <c r="G2002" s="4" t="s">
        <v>289</v>
      </c>
      <c r="H2002" s="6" t="s">
        <v>272</v>
      </c>
      <c r="I2002" s="4" t="s">
        <v>292</v>
      </c>
      <c r="J2002" s="4" t="s">
        <v>50</v>
      </c>
      <c r="K2002" s="4" t="s">
        <v>538</v>
      </c>
    </row>
    <row r="2003" spans="1:11" ht="15.75" hidden="1" customHeight="1" x14ac:dyDescent="0.2">
      <c r="B2003" s="4" t="s">
        <v>8</v>
      </c>
      <c r="C2003" s="4" t="s">
        <v>271</v>
      </c>
      <c r="D2003" s="4" t="s">
        <v>94</v>
      </c>
      <c r="E2003" s="4" t="s">
        <v>5</v>
      </c>
      <c r="F2003" s="4" t="s">
        <v>657</v>
      </c>
      <c r="G2003" s="6" t="s">
        <v>272</v>
      </c>
      <c r="H2003" s="6">
        <v>19</v>
      </c>
      <c r="I2003" s="4" t="s">
        <v>10</v>
      </c>
      <c r="J2003" s="4" t="s">
        <v>15</v>
      </c>
      <c r="K2003" s="4" t="s">
        <v>0</v>
      </c>
    </row>
    <row r="2004" spans="1:11" ht="15.75" hidden="1" customHeight="1" x14ac:dyDescent="0.2">
      <c r="B2004" s="4" t="s">
        <v>8</v>
      </c>
      <c r="C2004" s="4"/>
      <c r="D2004" s="4" t="s">
        <v>236</v>
      </c>
      <c r="E2004" s="4" t="s">
        <v>5</v>
      </c>
      <c r="F2004" s="4" t="s">
        <v>656</v>
      </c>
      <c r="G2004" s="7" t="str">
        <f>HYPERLINK("https://www.facebook.com/groups/goapetlife/permalink/1687050438061578/","Social media")</f>
        <v>Social media</v>
      </c>
      <c r="H2004" s="6" t="s">
        <v>11</v>
      </c>
      <c r="I2004" s="4" t="s">
        <v>10</v>
      </c>
      <c r="J2004" s="4" t="s">
        <v>15</v>
      </c>
      <c r="K2004" s="4" t="s">
        <v>0</v>
      </c>
    </row>
    <row r="2005" spans="1:11" ht="15.75" customHeight="1" x14ac:dyDescent="0.2">
      <c r="A2005" s="1">
        <v>187</v>
      </c>
      <c r="B2005" s="4" t="s">
        <v>8</v>
      </c>
      <c r="C2005" s="4" t="s">
        <v>401</v>
      </c>
      <c r="D2005" s="4" t="s">
        <v>71</v>
      </c>
      <c r="E2005" s="4" t="s">
        <v>23</v>
      </c>
      <c r="F2005" s="4" t="s">
        <v>655</v>
      </c>
      <c r="G2005" s="7" t="s">
        <v>3</v>
      </c>
      <c r="H2005" s="6" t="s">
        <v>3</v>
      </c>
      <c r="I2005" s="4" t="s">
        <v>10</v>
      </c>
      <c r="J2005" s="4" t="s">
        <v>20</v>
      </c>
      <c r="K2005" s="4" t="s">
        <v>0</v>
      </c>
    </row>
    <row r="2006" spans="1:11" ht="15.75" hidden="1" customHeight="1" x14ac:dyDescent="0.2">
      <c r="B2006" s="4" t="s">
        <v>8</v>
      </c>
      <c r="C2006" s="4" t="s">
        <v>626</v>
      </c>
      <c r="D2006" s="4" t="s">
        <v>236</v>
      </c>
      <c r="E2006" s="4" t="s">
        <v>17</v>
      </c>
      <c r="F2006" s="4" t="s">
        <v>654</v>
      </c>
      <c r="G2006" s="7" t="str">
        <f>HYPERLINK("https://www.facebook.com/groups/goapetlife/permalink/1688360827930539/","Social media")</f>
        <v>Social media</v>
      </c>
      <c r="H2006" s="6" t="s">
        <v>11</v>
      </c>
      <c r="I2006" s="4" t="s">
        <v>10</v>
      </c>
      <c r="J2006" s="4" t="s">
        <v>15</v>
      </c>
      <c r="K2006" s="4" t="s">
        <v>0</v>
      </c>
    </row>
    <row r="2007" spans="1:11" ht="15.75" customHeight="1" x14ac:dyDescent="0.2">
      <c r="A2007" s="1">
        <v>188</v>
      </c>
      <c r="B2007" s="4" t="s">
        <v>8</v>
      </c>
      <c r="C2007" s="4" t="s">
        <v>130</v>
      </c>
      <c r="D2007" s="4" t="s">
        <v>77</v>
      </c>
      <c r="E2007" s="4" t="s">
        <v>27</v>
      </c>
      <c r="F2007" s="4" t="s">
        <v>653</v>
      </c>
      <c r="G2007" s="7" t="str">
        <f>HYPERLINK("https://www.thequint.com/my-report/chennai-man-sexual-abuse-rape-Street-dog-legal-system-loophole-police","News")</f>
        <v>News</v>
      </c>
      <c r="H2007" s="6" t="s">
        <v>3</v>
      </c>
      <c r="I2007" s="4" t="s">
        <v>10</v>
      </c>
      <c r="J2007" s="4" t="s">
        <v>82</v>
      </c>
      <c r="K2007" s="4" t="s">
        <v>0</v>
      </c>
    </row>
    <row r="2008" spans="1:11" ht="15.75" customHeight="1" x14ac:dyDescent="0.2">
      <c r="A2008" s="1">
        <v>189</v>
      </c>
      <c r="B2008" s="4" t="s">
        <v>8</v>
      </c>
      <c r="C2008" s="4" t="s">
        <v>652</v>
      </c>
      <c r="D2008" s="4" t="s">
        <v>71</v>
      </c>
      <c r="E2008" s="4" t="s">
        <v>81</v>
      </c>
      <c r="F2008" s="4" t="s">
        <v>651</v>
      </c>
      <c r="G2008" s="7" t="s">
        <v>3</v>
      </c>
      <c r="H2008" s="6" t="s">
        <v>3</v>
      </c>
      <c r="I2008" s="4" t="s">
        <v>2</v>
      </c>
      <c r="J2008" s="4" t="s">
        <v>20</v>
      </c>
      <c r="K2008" s="4" t="s">
        <v>0</v>
      </c>
    </row>
    <row r="2009" spans="1:11" ht="15.75" customHeight="1" x14ac:dyDescent="0.2">
      <c r="A2009" s="1">
        <v>190</v>
      </c>
      <c r="B2009" s="4" t="s">
        <v>8</v>
      </c>
      <c r="C2009" s="4" t="s">
        <v>650</v>
      </c>
      <c r="D2009" s="4" t="s">
        <v>317</v>
      </c>
      <c r="E2009" s="4" t="s">
        <v>23</v>
      </c>
      <c r="F2009" s="4" t="s">
        <v>649</v>
      </c>
      <c r="G2009" s="7" t="str">
        <f>HYPERLINK("http://www.mirror.co.uk/news/world-news/twenty-six-dogs-rescued-meat-11223860","News")</f>
        <v>News</v>
      </c>
      <c r="H2009" s="6" t="s">
        <v>3</v>
      </c>
      <c r="I2009" s="4" t="s">
        <v>10</v>
      </c>
      <c r="J2009" s="4" t="s">
        <v>15</v>
      </c>
      <c r="K2009" s="4" t="s">
        <v>0</v>
      </c>
    </row>
    <row r="2010" spans="1:11" ht="15.75" hidden="1" customHeight="1" x14ac:dyDescent="0.2">
      <c r="B2010" s="4" t="s">
        <v>8</v>
      </c>
      <c r="C2010" s="4" t="s">
        <v>150</v>
      </c>
      <c r="D2010" s="4" t="s">
        <v>150</v>
      </c>
      <c r="E2010" s="4" t="s">
        <v>5</v>
      </c>
      <c r="F2010" s="4" t="s">
        <v>648</v>
      </c>
      <c r="G2010" s="4" t="s">
        <v>11</v>
      </c>
      <c r="H2010" s="6" t="s">
        <v>11</v>
      </c>
      <c r="I2010" s="4" t="s">
        <v>10</v>
      </c>
      <c r="J2010" s="4" t="s">
        <v>15</v>
      </c>
      <c r="K2010" s="4"/>
    </row>
    <row r="2011" spans="1:11" ht="15.75" hidden="1" customHeight="1" x14ac:dyDescent="0.2">
      <c r="B2011" s="4" t="s">
        <v>8</v>
      </c>
      <c r="C2011" s="4" t="s">
        <v>150</v>
      </c>
      <c r="D2011" s="4" t="s">
        <v>150</v>
      </c>
      <c r="E2011" s="4" t="s">
        <v>23</v>
      </c>
      <c r="F2011" s="4" t="s">
        <v>647</v>
      </c>
      <c r="G2011" s="7" t="s">
        <v>11</v>
      </c>
      <c r="H2011" s="6" t="s">
        <v>11</v>
      </c>
      <c r="I2011" s="4" t="s">
        <v>10</v>
      </c>
      <c r="J2011" s="4" t="s">
        <v>20</v>
      </c>
      <c r="K2011" s="4" t="s">
        <v>0</v>
      </c>
    </row>
    <row r="2012" spans="1:11" ht="15.75" hidden="1" customHeight="1" x14ac:dyDescent="0.2">
      <c r="B2012" s="4" t="s">
        <v>8</v>
      </c>
      <c r="C2012" s="4" t="s">
        <v>150</v>
      </c>
      <c r="D2012" s="4" t="s">
        <v>150</v>
      </c>
      <c r="E2012" s="4" t="s">
        <v>159</v>
      </c>
      <c r="F2012" s="4" t="s">
        <v>646</v>
      </c>
      <c r="G2012" s="7" t="s">
        <v>11</v>
      </c>
      <c r="H2012" s="6" t="s">
        <v>11</v>
      </c>
      <c r="I2012" s="4" t="s">
        <v>10</v>
      </c>
      <c r="J2012" s="4" t="s">
        <v>15</v>
      </c>
      <c r="K2012" s="4" t="s">
        <v>0</v>
      </c>
    </row>
    <row r="2013" spans="1:11" ht="15.75" hidden="1" customHeight="1" x14ac:dyDescent="0.2">
      <c r="B2013" s="4" t="s">
        <v>8</v>
      </c>
      <c r="C2013" s="4" t="s">
        <v>228</v>
      </c>
      <c r="D2013" s="4" t="s">
        <v>36</v>
      </c>
      <c r="E2013" s="4" t="s">
        <v>159</v>
      </c>
      <c r="F2013" s="4" t="s">
        <v>645</v>
      </c>
      <c r="G2013" s="4" t="s">
        <v>289</v>
      </c>
      <c r="H2013" s="6" t="s">
        <v>272</v>
      </c>
      <c r="I2013" s="4" t="s">
        <v>21</v>
      </c>
      <c r="J2013" s="4" t="s">
        <v>50</v>
      </c>
      <c r="K2013" s="4" t="s">
        <v>644</v>
      </c>
    </row>
    <row r="2014" spans="1:11" ht="15.75" customHeight="1" x14ac:dyDescent="0.2">
      <c r="A2014" s="1">
        <v>191</v>
      </c>
      <c r="B2014" s="4" t="s">
        <v>8</v>
      </c>
      <c r="C2014" s="4" t="s">
        <v>566</v>
      </c>
      <c r="D2014" s="4" t="s">
        <v>42</v>
      </c>
      <c r="E2014" s="4" t="s">
        <v>5</v>
      </c>
      <c r="F2014" s="4" t="s">
        <v>643</v>
      </c>
      <c r="G2014" s="7" t="s">
        <v>3</v>
      </c>
      <c r="H2014" s="6" t="s">
        <v>3</v>
      </c>
      <c r="I2014" s="4" t="s">
        <v>197</v>
      </c>
      <c r="J2014" s="4" t="s">
        <v>642</v>
      </c>
      <c r="K2014" s="4" t="s">
        <v>57</v>
      </c>
    </row>
    <row r="2015" spans="1:11" ht="15.75" hidden="1" customHeight="1" x14ac:dyDescent="0.2">
      <c r="B2015" s="4" t="s">
        <v>8</v>
      </c>
      <c r="C2015" s="4" t="s">
        <v>150</v>
      </c>
      <c r="D2015" s="4" t="s">
        <v>150</v>
      </c>
      <c r="E2015" s="4" t="s">
        <v>5</v>
      </c>
      <c r="F2015" s="4" t="s">
        <v>641</v>
      </c>
      <c r="G2015" s="7" t="s">
        <v>11</v>
      </c>
      <c r="H2015" s="6" t="s">
        <v>11</v>
      </c>
      <c r="I2015" s="4" t="s">
        <v>10</v>
      </c>
      <c r="J2015" s="4" t="s">
        <v>15</v>
      </c>
      <c r="K2015" s="4" t="s">
        <v>0</v>
      </c>
    </row>
    <row r="2016" spans="1:11" ht="15.75" hidden="1" customHeight="1" x14ac:dyDescent="0.2">
      <c r="B2016" s="4" t="s">
        <v>8</v>
      </c>
      <c r="C2016" s="4" t="s">
        <v>139</v>
      </c>
      <c r="D2016" s="4" t="s">
        <v>18</v>
      </c>
      <c r="E2016" s="4" t="s">
        <v>17</v>
      </c>
      <c r="F2016" s="4" t="s">
        <v>640</v>
      </c>
      <c r="G2016" s="7" t="str">
        <f>HYPERLINK("https://www.facebook.com/resqct/posts/10156932049726101","Social media")</f>
        <v>Social media</v>
      </c>
      <c r="H2016" s="6" t="s">
        <v>11</v>
      </c>
      <c r="I2016" s="4" t="s">
        <v>10</v>
      </c>
      <c r="J2016" s="4" t="s">
        <v>15</v>
      </c>
      <c r="K2016" s="4" t="s">
        <v>639</v>
      </c>
    </row>
    <row r="2017" spans="1:11" ht="15.75" hidden="1" customHeight="1" x14ac:dyDescent="0.2">
      <c r="B2017" s="4" t="s">
        <v>8</v>
      </c>
      <c r="C2017" s="4" t="s">
        <v>228</v>
      </c>
      <c r="D2017" s="4" t="s">
        <v>36</v>
      </c>
      <c r="E2017" s="4" t="s">
        <v>17</v>
      </c>
      <c r="F2017" s="4" t="s">
        <v>638</v>
      </c>
      <c r="G2017" s="4" t="s">
        <v>273</v>
      </c>
      <c r="H2017" s="6" t="s">
        <v>272</v>
      </c>
      <c r="I2017" s="4" t="s">
        <v>2</v>
      </c>
      <c r="J2017" s="4" t="s">
        <v>15</v>
      </c>
      <c r="K2017" s="4" t="s">
        <v>0</v>
      </c>
    </row>
    <row r="2018" spans="1:11" ht="15.75" hidden="1" customHeight="1" x14ac:dyDescent="0.2">
      <c r="B2018" s="4" t="s">
        <v>8</v>
      </c>
      <c r="C2018" s="4" t="s">
        <v>228</v>
      </c>
      <c r="D2018" s="4" t="s">
        <v>36</v>
      </c>
      <c r="E2018" s="4" t="s">
        <v>159</v>
      </c>
      <c r="F2018" s="4" t="s">
        <v>637</v>
      </c>
      <c r="G2018" s="4" t="s">
        <v>289</v>
      </c>
      <c r="H2018" s="6" t="s">
        <v>272</v>
      </c>
      <c r="I2018" s="4" t="s">
        <v>21</v>
      </c>
      <c r="J2018" s="4" t="s">
        <v>157</v>
      </c>
      <c r="K2018" s="4" t="s">
        <v>518</v>
      </c>
    </row>
    <row r="2019" spans="1:11" ht="15.75" hidden="1" customHeight="1" x14ac:dyDescent="0.2">
      <c r="B2019" s="4" t="s">
        <v>8</v>
      </c>
      <c r="C2019" s="4" t="s">
        <v>228</v>
      </c>
      <c r="D2019" s="4" t="s">
        <v>36</v>
      </c>
      <c r="E2019" s="4" t="s">
        <v>159</v>
      </c>
      <c r="F2019" s="4" t="s">
        <v>636</v>
      </c>
      <c r="G2019" s="4" t="s">
        <v>289</v>
      </c>
      <c r="H2019" s="6" t="s">
        <v>272</v>
      </c>
      <c r="I2019" s="4" t="s">
        <v>21</v>
      </c>
      <c r="J2019" s="4" t="s">
        <v>50</v>
      </c>
      <c r="K2019" s="4" t="s">
        <v>596</v>
      </c>
    </row>
    <row r="2020" spans="1:11" ht="15.75" hidden="1" customHeight="1" x14ac:dyDescent="0.2">
      <c r="B2020" s="4" t="s">
        <v>8</v>
      </c>
      <c r="C2020" s="4" t="s">
        <v>89</v>
      </c>
      <c r="D2020" s="4" t="s">
        <v>88</v>
      </c>
      <c r="E2020" s="4" t="s">
        <v>17</v>
      </c>
      <c r="F2020" s="4" t="s">
        <v>635</v>
      </c>
      <c r="G2020" s="7" t="s">
        <v>11</v>
      </c>
      <c r="H2020" s="6" t="s">
        <v>11</v>
      </c>
      <c r="I2020" s="4" t="s">
        <v>10</v>
      </c>
      <c r="J2020" s="4" t="s">
        <v>15</v>
      </c>
      <c r="K2020" s="4" t="s">
        <v>0</v>
      </c>
    </row>
    <row r="2021" spans="1:11" ht="15.75" hidden="1" customHeight="1" x14ac:dyDescent="0.2">
      <c r="B2021" s="4" t="s">
        <v>8</v>
      </c>
      <c r="C2021" s="4" t="s">
        <v>150</v>
      </c>
      <c r="D2021" s="4" t="s">
        <v>150</v>
      </c>
      <c r="E2021" s="4" t="s">
        <v>23</v>
      </c>
      <c r="F2021" s="4" t="s">
        <v>634</v>
      </c>
      <c r="G2021" s="7" t="s">
        <v>11</v>
      </c>
      <c r="H2021" s="6" t="s">
        <v>11</v>
      </c>
      <c r="I2021" s="4" t="s">
        <v>10</v>
      </c>
      <c r="J2021" s="4" t="s">
        <v>20</v>
      </c>
      <c r="K2021" s="4" t="s">
        <v>0</v>
      </c>
    </row>
    <row r="2022" spans="1:11" ht="15.75" customHeight="1" x14ac:dyDescent="0.2">
      <c r="A2022" s="1">
        <v>192</v>
      </c>
      <c r="B2022" s="4" t="s">
        <v>8</v>
      </c>
      <c r="C2022" s="4" t="s">
        <v>63</v>
      </c>
      <c r="D2022" s="4" t="s">
        <v>62</v>
      </c>
      <c r="E2022" s="4" t="s">
        <v>55</v>
      </c>
      <c r="F2022" s="4" t="s">
        <v>633</v>
      </c>
      <c r="G2022" s="7" t="s">
        <v>3</v>
      </c>
      <c r="H2022" s="6" t="s">
        <v>3</v>
      </c>
      <c r="I2022" s="4" t="s">
        <v>197</v>
      </c>
      <c r="J2022" s="4" t="s">
        <v>1</v>
      </c>
      <c r="K2022" s="4" t="s">
        <v>108</v>
      </c>
    </row>
    <row r="2023" spans="1:11" ht="15.75" customHeight="1" x14ac:dyDescent="0.2">
      <c r="A2023" s="1">
        <v>193</v>
      </c>
      <c r="B2023" s="4" t="s">
        <v>8</v>
      </c>
      <c r="C2023" s="4" t="s">
        <v>130</v>
      </c>
      <c r="D2023" s="4" t="s">
        <v>77</v>
      </c>
      <c r="E2023" s="4" t="s">
        <v>81</v>
      </c>
      <c r="F2023" s="4" t="s">
        <v>632</v>
      </c>
      <c r="G2023" s="7" t="str">
        <f>HYPERLINK("https://www.indiatimes.com/trending/wtf/in-another-sickening-case-of-bestiality-a-man-was-caught-raping-newborn-pups-arrested-364536.html","News")</f>
        <v>News</v>
      </c>
      <c r="H2023" s="6" t="s">
        <v>3</v>
      </c>
      <c r="I2023" s="4" t="s">
        <v>10</v>
      </c>
      <c r="J2023" s="4" t="s">
        <v>82</v>
      </c>
      <c r="K2023" s="4" t="s">
        <v>0</v>
      </c>
    </row>
    <row r="2024" spans="1:11" ht="15.75" customHeight="1" x14ac:dyDescent="0.2">
      <c r="A2024" s="1">
        <v>194</v>
      </c>
      <c r="B2024" s="4" t="s">
        <v>8</v>
      </c>
      <c r="C2024" s="4" t="s">
        <v>631</v>
      </c>
      <c r="D2024" s="4" t="s">
        <v>66</v>
      </c>
      <c r="E2024" s="4" t="s">
        <v>27</v>
      </c>
      <c r="F2024" s="4" t="s">
        <v>630</v>
      </c>
      <c r="G2024" s="7" t="str">
        <f>HYPERLINK("https://timesofindia.indiatimes.com/city/kozhikode/this-puppy-is-a-lucky-survivor/articleshow/68590869.cms","News")</f>
        <v>News</v>
      </c>
      <c r="H2024" s="6" t="s">
        <v>3</v>
      </c>
      <c r="I2024" s="4" t="s">
        <v>10</v>
      </c>
      <c r="J2024" s="4" t="s">
        <v>15</v>
      </c>
      <c r="K2024" s="4" t="s">
        <v>0</v>
      </c>
    </row>
    <row r="2025" spans="1:11" ht="15.75" hidden="1" customHeight="1" x14ac:dyDescent="0.2">
      <c r="B2025" s="4" t="s">
        <v>8</v>
      </c>
      <c r="C2025" s="4" t="s">
        <v>139</v>
      </c>
      <c r="D2025" s="4" t="s">
        <v>18</v>
      </c>
      <c r="E2025" s="4" t="s">
        <v>5</v>
      </c>
      <c r="F2025" s="4" t="s">
        <v>629</v>
      </c>
      <c r="G2025" s="7" t="str">
        <f>HYPERLINK("https://www.facebook.com/resqct/posts/10156950437261101","Social media")</f>
        <v>Social media</v>
      </c>
      <c r="H2025" s="6" t="s">
        <v>11</v>
      </c>
      <c r="I2025" s="4" t="s">
        <v>10</v>
      </c>
      <c r="J2025" s="4" t="s">
        <v>15</v>
      </c>
      <c r="K2025" s="4" t="s">
        <v>0</v>
      </c>
    </row>
    <row r="2026" spans="1:11" ht="15.75" hidden="1" customHeight="1" x14ac:dyDescent="0.2">
      <c r="B2026" s="4" t="s">
        <v>8</v>
      </c>
      <c r="C2026" s="4" t="s">
        <v>150</v>
      </c>
      <c r="D2026" s="4" t="s">
        <v>150</v>
      </c>
      <c r="E2026" s="4" t="s">
        <v>23</v>
      </c>
      <c r="F2026" s="4" t="s">
        <v>628</v>
      </c>
      <c r="G2026" s="7" t="s">
        <v>11</v>
      </c>
      <c r="H2026" s="6" t="s">
        <v>11</v>
      </c>
      <c r="I2026" s="4" t="s">
        <v>10</v>
      </c>
      <c r="J2026" s="4" t="s">
        <v>20</v>
      </c>
      <c r="K2026" s="4" t="s">
        <v>0</v>
      </c>
    </row>
    <row r="2027" spans="1:11" ht="15.75" customHeight="1" x14ac:dyDescent="0.2">
      <c r="A2027" s="1">
        <v>195</v>
      </c>
      <c r="B2027" s="4" t="s">
        <v>8</v>
      </c>
      <c r="C2027" s="4" t="s">
        <v>89</v>
      </c>
      <c r="D2027" s="4" t="s">
        <v>88</v>
      </c>
      <c r="E2027" s="4" t="s">
        <v>23</v>
      </c>
      <c r="F2027" s="4" t="s">
        <v>627</v>
      </c>
      <c r="G2027" s="7" t="str">
        <f>HYPERLINK("https://timesofindia.indiatimes.com/city/kolkata/dog-run-over-at-nujs-1-held/articleshow/68445040.cms","News")</f>
        <v>News</v>
      </c>
      <c r="H2027" s="6" t="s">
        <v>3</v>
      </c>
      <c r="I2027" s="4" t="s">
        <v>10</v>
      </c>
      <c r="J2027" s="4" t="s">
        <v>20</v>
      </c>
      <c r="K2027" s="4" t="s">
        <v>0</v>
      </c>
    </row>
    <row r="2028" spans="1:11" ht="15.75" hidden="1" customHeight="1" x14ac:dyDescent="0.2">
      <c r="B2028" s="4" t="s">
        <v>8</v>
      </c>
      <c r="C2028" s="4" t="s">
        <v>626</v>
      </c>
      <c r="D2028" s="4" t="s">
        <v>236</v>
      </c>
      <c r="E2028" s="4" t="s">
        <v>17</v>
      </c>
      <c r="F2028" s="4" t="s">
        <v>625</v>
      </c>
      <c r="G2028" s="7" t="str">
        <f>HYPERLINK("https://www.facebook.com/wvshicksitc/posts/641967769559740","Social media")</f>
        <v>Social media</v>
      </c>
      <c r="H2028" s="6" t="s">
        <v>11</v>
      </c>
      <c r="I2028" s="4" t="s">
        <v>10</v>
      </c>
      <c r="J2028" s="4" t="s">
        <v>15</v>
      </c>
      <c r="K2028" s="4" t="s">
        <v>0</v>
      </c>
    </row>
    <row r="2029" spans="1:11" ht="15.75" customHeight="1" x14ac:dyDescent="0.2">
      <c r="A2029" s="1">
        <v>196</v>
      </c>
      <c r="B2029" s="4" t="s">
        <v>8</v>
      </c>
      <c r="C2029" s="4" t="s">
        <v>624</v>
      </c>
      <c r="D2029" s="4" t="s">
        <v>154</v>
      </c>
      <c r="E2029" s="4" t="s">
        <v>23</v>
      </c>
      <c r="F2029" s="4" t="s">
        <v>623</v>
      </c>
      <c r="G2029" s="7" t="s">
        <v>3</v>
      </c>
      <c r="H2029" s="6" t="s">
        <v>3</v>
      </c>
      <c r="I2029" s="4" t="s">
        <v>21</v>
      </c>
      <c r="J2029" s="4" t="s">
        <v>20</v>
      </c>
      <c r="K2029" s="4" t="s">
        <v>622</v>
      </c>
    </row>
    <row r="2030" spans="1:11" ht="15.75" hidden="1" customHeight="1" x14ac:dyDescent="0.2">
      <c r="B2030" s="4" t="s">
        <v>8</v>
      </c>
      <c r="C2030" s="4" t="s">
        <v>228</v>
      </c>
      <c r="D2030" s="4" t="s">
        <v>36</v>
      </c>
      <c r="E2030" s="4" t="s">
        <v>159</v>
      </c>
      <c r="F2030" s="4" t="s">
        <v>621</v>
      </c>
      <c r="G2030" s="4" t="s">
        <v>289</v>
      </c>
      <c r="H2030" s="6" t="s">
        <v>272</v>
      </c>
      <c r="I2030" s="4" t="s">
        <v>21</v>
      </c>
      <c r="J2030" s="4" t="s">
        <v>50</v>
      </c>
      <c r="K2030" s="4" t="s">
        <v>620</v>
      </c>
    </row>
    <row r="2031" spans="1:11" ht="15.75" hidden="1" customHeight="1" x14ac:dyDescent="0.2">
      <c r="B2031" s="4" t="s">
        <v>8</v>
      </c>
      <c r="C2031" s="4" t="s">
        <v>228</v>
      </c>
      <c r="D2031" s="4" t="s">
        <v>36</v>
      </c>
      <c r="E2031" s="4" t="s">
        <v>159</v>
      </c>
      <c r="F2031" s="4" t="s">
        <v>619</v>
      </c>
      <c r="G2031" s="4" t="s">
        <v>289</v>
      </c>
      <c r="H2031" s="6" t="s">
        <v>272</v>
      </c>
      <c r="I2031" s="4" t="s">
        <v>292</v>
      </c>
      <c r="J2031" s="4" t="s">
        <v>618</v>
      </c>
      <c r="K2031" s="4" t="s">
        <v>280</v>
      </c>
    </row>
    <row r="2032" spans="1:11" ht="15.75" customHeight="1" x14ac:dyDescent="0.2">
      <c r="A2032" s="1">
        <v>197</v>
      </c>
      <c r="B2032" s="4" t="s">
        <v>8</v>
      </c>
      <c r="C2032" s="4" t="s">
        <v>617</v>
      </c>
      <c r="D2032" s="4" t="s">
        <v>154</v>
      </c>
      <c r="E2032" s="4" t="s">
        <v>27</v>
      </c>
      <c r="F2032" s="4" t="s">
        <v>616</v>
      </c>
      <c r="G2032" s="7" t="s">
        <v>3</v>
      </c>
      <c r="H2032" s="6" t="s">
        <v>3</v>
      </c>
      <c r="I2032" s="4" t="s">
        <v>10</v>
      </c>
      <c r="J2032" s="4" t="s">
        <v>20</v>
      </c>
      <c r="K2032" s="4" t="s">
        <v>0</v>
      </c>
    </row>
    <row r="2033" spans="1:11" ht="15.75" hidden="1" customHeight="1" x14ac:dyDescent="0.2">
      <c r="B2033" s="4" t="s">
        <v>8</v>
      </c>
      <c r="C2033" s="4" t="s">
        <v>228</v>
      </c>
      <c r="D2033" s="4" t="s">
        <v>36</v>
      </c>
      <c r="E2033" s="4" t="s">
        <v>159</v>
      </c>
      <c r="F2033" s="4" t="s">
        <v>615</v>
      </c>
      <c r="G2033" s="4" t="s">
        <v>289</v>
      </c>
      <c r="H2033" s="6" t="s">
        <v>272</v>
      </c>
      <c r="I2033" s="4" t="s">
        <v>614</v>
      </c>
      <c r="J2033" s="4" t="s">
        <v>50</v>
      </c>
      <c r="K2033" s="4" t="s">
        <v>280</v>
      </c>
    </row>
    <row r="2034" spans="1:11" ht="15.75" customHeight="1" x14ac:dyDescent="0.2">
      <c r="A2034" s="1">
        <v>198</v>
      </c>
      <c r="B2034" s="4" t="s">
        <v>8</v>
      </c>
      <c r="C2034" s="4" t="s">
        <v>613</v>
      </c>
      <c r="D2034" s="4" t="s">
        <v>317</v>
      </c>
      <c r="E2034" s="4" t="s">
        <v>23</v>
      </c>
      <c r="F2034" s="4" t="s">
        <v>612</v>
      </c>
      <c r="G2034" s="7" t="s">
        <v>3</v>
      </c>
      <c r="H2034" s="6" t="s">
        <v>3</v>
      </c>
      <c r="I2034" s="4" t="s">
        <v>144</v>
      </c>
      <c r="J2034" s="4" t="s">
        <v>304</v>
      </c>
      <c r="K2034" s="4" t="s">
        <v>33</v>
      </c>
    </row>
    <row r="2035" spans="1:11" ht="15.75" customHeight="1" x14ac:dyDescent="0.2">
      <c r="A2035" s="1">
        <v>199</v>
      </c>
      <c r="B2035" s="4" t="s">
        <v>8</v>
      </c>
      <c r="C2035" s="4" t="s">
        <v>611</v>
      </c>
      <c r="D2035" s="4" t="s">
        <v>317</v>
      </c>
      <c r="E2035" s="4" t="s">
        <v>5</v>
      </c>
      <c r="F2035" s="4" t="s">
        <v>610</v>
      </c>
      <c r="G2035" s="7" t="s">
        <v>3</v>
      </c>
      <c r="H2035" s="6" t="s">
        <v>3</v>
      </c>
      <c r="I2035" s="4" t="s">
        <v>144</v>
      </c>
      <c r="J2035" s="4" t="s">
        <v>371</v>
      </c>
      <c r="K2035" s="4" t="s">
        <v>33</v>
      </c>
    </row>
    <row r="2036" spans="1:11" ht="15.75" hidden="1" customHeight="1" x14ac:dyDescent="0.2">
      <c r="B2036" s="4" t="s">
        <v>8</v>
      </c>
      <c r="C2036" s="4" t="s">
        <v>150</v>
      </c>
      <c r="D2036" s="4" t="s">
        <v>150</v>
      </c>
      <c r="E2036" s="4" t="s">
        <v>23</v>
      </c>
      <c r="F2036" s="4" t="s">
        <v>609</v>
      </c>
      <c r="G2036" s="7" t="s">
        <v>11</v>
      </c>
      <c r="H2036" s="6" t="s">
        <v>11</v>
      </c>
      <c r="I2036" s="4" t="s">
        <v>10</v>
      </c>
      <c r="J2036" s="4" t="s">
        <v>20</v>
      </c>
      <c r="K2036" s="4" t="s">
        <v>0</v>
      </c>
    </row>
    <row r="2037" spans="1:11" ht="15.75" hidden="1" customHeight="1" x14ac:dyDescent="0.2">
      <c r="B2037" s="4" t="s">
        <v>8</v>
      </c>
      <c r="C2037" s="4" t="s">
        <v>228</v>
      </c>
      <c r="D2037" s="4" t="s">
        <v>36</v>
      </c>
      <c r="E2037" s="4" t="s">
        <v>159</v>
      </c>
      <c r="F2037" s="4" t="s">
        <v>608</v>
      </c>
      <c r="G2037" s="4" t="s">
        <v>289</v>
      </c>
      <c r="H2037" s="6" t="s">
        <v>272</v>
      </c>
      <c r="I2037" s="4" t="s">
        <v>281</v>
      </c>
      <c r="J2037" s="4" t="s">
        <v>50</v>
      </c>
      <c r="K2037" s="4" t="s">
        <v>280</v>
      </c>
    </row>
    <row r="2038" spans="1:11" ht="15.75" customHeight="1" x14ac:dyDescent="0.2">
      <c r="A2038" s="1">
        <v>200</v>
      </c>
      <c r="B2038" s="4" t="s">
        <v>8</v>
      </c>
      <c r="C2038" s="4" t="s">
        <v>141</v>
      </c>
      <c r="D2038" s="4" t="s">
        <v>71</v>
      </c>
      <c r="E2038" s="4" t="s">
        <v>23</v>
      </c>
      <c r="F2038" s="4" t="s">
        <v>607</v>
      </c>
      <c r="G2038" s="7" t="s">
        <v>3</v>
      </c>
      <c r="H2038" s="6" t="s">
        <v>3</v>
      </c>
      <c r="I2038" s="4" t="s">
        <v>10</v>
      </c>
      <c r="J2038" s="4" t="s">
        <v>15</v>
      </c>
      <c r="K2038" s="4" t="s">
        <v>0</v>
      </c>
    </row>
    <row r="2039" spans="1:11" ht="15.75" hidden="1" customHeight="1" x14ac:dyDescent="0.2">
      <c r="B2039" s="4" t="s">
        <v>8</v>
      </c>
      <c r="C2039" s="4" t="s">
        <v>228</v>
      </c>
      <c r="D2039" s="4" t="s">
        <v>36</v>
      </c>
      <c r="E2039" s="4" t="s">
        <v>159</v>
      </c>
      <c r="F2039" s="4" t="s">
        <v>606</v>
      </c>
      <c r="G2039" s="4" t="s">
        <v>289</v>
      </c>
      <c r="H2039" s="6" t="s">
        <v>272</v>
      </c>
      <c r="I2039" s="4" t="s">
        <v>281</v>
      </c>
      <c r="J2039" s="4" t="s">
        <v>50</v>
      </c>
      <c r="K2039" s="4" t="s">
        <v>280</v>
      </c>
    </row>
    <row r="2040" spans="1:11" ht="15.75" hidden="1" customHeight="1" x14ac:dyDescent="0.2">
      <c r="B2040" s="4" t="s">
        <v>8</v>
      </c>
      <c r="C2040" s="4" t="s">
        <v>605</v>
      </c>
      <c r="D2040" s="4" t="s">
        <v>71</v>
      </c>
      <c r="E2040" s="4" t="s">
        <v>5</v>
      </c>
      <c r="F2040" s="4" t="s">
        <v>604</v>
      </c>
      <c r="G2040" s="7" t="s">
        <v>11</v>
      </c>
      <c r="H2040" s="6" t="s">
        <v>11</v>
      </c>
      <c r="I2040" s="4" t="s">
        <v>10</v>
      </c>
      <c r="J2040" s="4" t="s">
        <v>20</v>
      </c>
      <c r="K2040" s="4" t="s">
        <v>0</v>
      </c>
    </row>
    <row r="2041" spans="1:11" ht="15.75" hidden="1" customHeight="1" x14ac:dyDescent="0.2">
      <c r="B2041" s="4" t="s">
        <v>8</v>
      </c>
      <c r="C2041" s="4" t="s">
        <v>150</v>
      </c>
      <c r="D2041" s="4" t="s">
        <v>150</v>
      </c>
      <c r="E2041" s="4" t="s">
        <v>23</v>
      </c>
      <c r="F2041" s="4" t="s">
        <v>603</v>
      </c>
      <c r="G2041" s="7" t="s">
        <v>11</v>
      </c>
      <c r="H2041" s="6" t="s">
        <v>11</v>
      </c>
      <c r="I2041" s="4" t="s">
        <v>10</v>
      </c>
      <c r="J2041" s="4" t="s">
        <v>20</v>
      </c>
      <c r="K2041" s="4" t="s">
        <v>0</v>
      </c>
    </row>
    <row r="2042" spans="1:11" ht="15.75" hidden="1" customHeight="1" x14ac:dyDescent="0.2">
      <c r="B2042" s="4" t="s">
        <v>8</v>
      </c>
      <c r="C2042" s="4" t="s">
        <v>228</v>
      </c>
      <c r="D2042" s="4" t="s">
        <v>36</v>
      </c>
      <c r="E2042" s="4" t="s">
        <v>159</v>
      </c>
      <c r="F2042" s="4" t="s">
        <v>602</v>
      </c>
      <c r="G2042" s="4" t="s">
        <v>289</v>
      </c>
      <c r="H2042" s="6" t="s">
        <v>272</v>
      </c>
      <c r="I2042" s="4" t="s">
        <v>292</v>
      </c>
      <c r="J2042" s="4" t="s">
        <v>50</v>
      </c>
      <c r="K2042" s="4" t="s">
        <v>280</v>
      </c>
    </row>
    <row r="2043" spans="1:11" ht="15.75" hidden="1" customHeight="1" x14ac:dyDescent="0.2">
      <c r="B2043" s="4" t="s">
        <v>8</v>
      </c>
      <c r="C2043" s="4" t="s">
        <v>228</v>
      </c>
      <c r="D2043" s="4" t="s">
        <v>36</v>
      </c>
      <c r="E2043" s="4" t="s">
        <v>159</v>
      </c>
      <c r="F2043" s="4" t="s">
        <v>592</v>
      </c>
      <c r="G2043" s="4" t="s">
        <v>289</v>
      </c>
      <c r="H2043" s="6" t="s">
        <v>272</v>
      </c>
      <c r="I2043" s="4" t="s">
        <v>281</v>
      </c>
      <c r="J2043" s="4" t="s">
        <v>50</v>
      </c>
      <c r="K2043" s="4" t="s">
        <v>280</v>
      </c>
    </row>
    <row r="2044" spans="1:11" ht="15.75" hidden="1" customHeight="1" x14ac:dyDescent="0.2">
      <c r="B2044" s="4" t="s">
        <v>8</v>
      </c>
      <c r="C2044" s="4" t="s">
        <v>237</v>
      </c>
      <c r="D2044" s="4" t="s">
        <v>236</v>
      </c>
      <c r="E2044" s="4" t="s">
        <v>17</v>
      </c>
      <c r="F2044" s="4" t="s">
        <v>601</v>
      </c>
      <c r="G2044" s="7" t="str">
        <f>HYPERLINK("https://www.facebook.com/groups/goapetlife/permalink/1754850861281535/","Social media")</f>
        <v>Social media</v>
      </c>
      <c r="H2044" s="6" t="s">
        <v>11</v>
      </c>
      <c r="I2044" s="4" t="s">
        <v>10</v>
      </c>
      <c r="J2044" s="4" t="s">
        <v>15</v>
      </c>
      <c r="K2044" s="4" t="s">
        <v>0</v>
      </c>
    </row>
    <row r="2045" spans="1:11" ht="15.75" hidden="1" customHeight="1" x14ac:dyDescent="0.2">
      <c r="B2045" s="4" t="s">
        <v>8</v>
      </c>
      <c r="C2045" s="4" t="s">
        <v>228</v>
      </c>
      <c r="D2045" s="4" t="s">
        <v>36</v>
      </c>
      <c r="E2045" s="4" t="s">
        <v>159</v>
      </c>
      <c r="F2045" s="4" t="s">
        <v>600</v>
      </c>
      <c r="G2045" s="4" t="s">
        <v>289</v>
      </c>
      <c r="H2045" s="6" t="s">
        <v>272</v>
      </c>
      <c r="I2045" s="4" t="s">
        <v>292</v>
      </c>
      <c r="J2045" s="4" t="s">
        <v>50</v>
      </c>
      <c r="K2045" s="4" t="s">
        <v>280</v>
      </c>
    </row>
    <row r="2046" spans="1:11" ht="15.75" customHeight="1" x14ac:dyDescent="0.2">
      <c r="A2046" s="1">
        <v>201</v>
      </c>
      <c r="B2046" s="4" t="s">
        <v>8</v>
      </c>
      <c r="C2046" s="4" t="s">
        <v>408</v>
      </c>
      <c r="D2046" s="4" t="s">
        <v>28</v>
      </c>
      <c r="E2046" s="4" t="s">
        <v>81</v>
      </c>
      <c r="F2046" s="4" t="s">
        <v>599</v>
      </c>
      <c r="G2046" s="7" t="str">
        <f>HYPERLINK("https://timesofindia.indiatimes.com/city/ahmedabad/ahmedabad-man-arrested-for-having-unnatural-sex-with-cow/articleshow/68886252.cms","News")</f>
        <v>News</v>
      </c>
      <c r="H2046" s="6" t="s">
        <v>3</v>
      </c>
      <c r="I2046" s="4" t="s">
        <v>109</v>
      </c>
      <c r="J2046" s="4" t="s">
        <v>82</v>
      </c>
      <c r="K2046" s="4" t="s">
        <v>57</v>
      </c>
    </row>
    <row r="2047" spans="1:11" ht="15.75" hidden="1" customHeight="1" x14ac:dyDescent="0.2">
      <c r="B2047" s="4" t="s">
        <v>8</v>
      </c>
      <c r="C2047" s="4" t="s">
        <v>139</v>
      </c>
      <c r="D2047" s="4" t="s">
        <v>18</v>
      </c>
      <c r="E2047" s="4" t="s">
        <v>17</v>
      </c>
      <c r="F2047" s="4" t="s">
        <v>598</v>
      </c>
      <c r="G2047" s="7" t="str">
        <f>HYPERLINK("https://www.youtube.com/watch?v=wNan9KJtIrE&amp;feature=youtu.be","Youtube")</f>
        <v>Youtube</v>
      </c>
      <c r="H2047" s="6" t="s">
        <v>3</v>
      </c>
      <c r="I2047" s="4" t="s">
        <v>10</v>
      </c>
      <c r="J2047" s="4" t="s">
        <v>15</v>
      </c>
      <c r="K2047" s="4" t="s">
        <v>0</v>
      </c>
    </row>
    <row r="2048" spans="1:11" ht="15.75" hidden="1" customHeight="1" x14ac:dyDescent="0.2">
      <c r="B2048" s="4" t="s">
        <v>8</v>
      </c>
      <c r="C2048" s="4" t="s">
        <v>228</v>
      </c>
      <c r="D2048" s="4" t="s">
        <v>36</v>
      </c>
      <c r="E2048" s="4" t="s">
        <v>159</v>
      </c>
      <c r="F2048" s="4" t="s">
        <v>597</v>
      </c>
      <c r="G2048" s="4" t="s">
        <v>289</v>
      </c>
      <c r="H2048" s="6" t="s">
        <v>272</v>
      </c>
      <c r="I2048" s="4" t="s">
        <v>21</v>
      </c>
      <c r="J2048" s="4" t="s">
        <v>50</v>
      </c>
      <c r="K2048" s="4" t="s">
        <v>596</v>
      </c>
    </row>
    <row r="2049" spans="1:11" ht="15.75" hidden="1" customHeight="1" x14ac:dyDescent="0.2">
      <c r="B2049" s="4" t="s">
        <v>8</v>
      </c>
      <c r="C2049" s="4" t="s">
        <v>594</v>
      </c>
      <c r="D2049" s="4" t="s">
        <v>66</v>
      </c>
      <c r="E2049" s="4" t="s">
        <v>17</v>
      </c>
      <c r="F2049" s="4" t="s">
        <v>593</v>
      </c>
      <c r="G2049" s="7" t="str">
        <f>HYPERLINK("https://www.facebook.com/pfakollam/posts/2142128579174199","Social media")</f>
        <v>Social media</v>
      </c>
      <c r="H2049" s="6" t="s">
        <v>11</v>
      </c>
      <c r="I2049" s="4" t="s">
        <v>10</v>
      </c>
      <c r="J2049" s="4" t="s">
        <v>15</v>
      </c>
      <c r="K2049" s="4" t="s">
        <v>0</v>
      </c>
    </row>
    <row r="2050" spans="1:11" ht="15.75" hidden="1" customHeight="1" x14ac:dyDescent="0.2">
      <c r="B2050" s="4" t="s">
        <v>8</v>
      </c>
      <c r="C2050" s="4" t="s">
        <v>228</v>
      </c>
      <c r="D2050" s="4" t="s">
        <v>36</v>
      </c>
      <c r="E2050" s="4" t="s">
        <v>159</v>
      </c>
      <c r="F2050" s="4" t="s">
        <v>592</v>
      </c>
      <c r="G2050" s="4" t="s">
        <v>289</v>
      </c>
      <c r="H2050" s="6" t="s">
        <v>272</v>
      </c>
      <c r="I2050" s="4" t="s">
        <v>292</v>
      </c>
      <c r="J2050" s="4" t="s">
        <v>50</v>
      </c>
      <c r="K2050" s="4" t="s">
        <v>280</v>
      </c>
    </row>
    <row r="2051" spans="1:11" ht="15.75" hidden="1" customHeight="1" x14ac:dyDescent="0.2">
      <c r="B2051" s="4" t="s">
        <v>8</v>
      </c>
      <c r="C2051" s="4" t="s">
        <v>228</v>
      </c>
      <c r="D2051" s="4" t="s">
        <v>36</v>
      </c>
      <c r="E2051" s="4" t="s">
        <v>17</v>
      </c>
      <c r="F2051" s="4" t="s">
        <v>591</v>
      </c>
      <c r="G2051" s="4" t="s">
        <v>289</v>
      </c>
      <c r="H2051" s="6" t="s">
        <v>272</v>
      </c>
      <c r="I2051" s="4" t="s">
        <v>281</v>
      </c>
      <c r="J2051" s="4" t="s">
        <v>50</v>
      </c>
      <c r="K2051" s="4" t="s">
        <v>518</v>
      </c>
    </row>
    <row r="2052" spans="1:11" ht="15.75" hidden="1" customHeight="1" x14ac:dyDescent="0.2">
      <c r="B2052" s="4" t="s">
        <v>8</v>
      </c>
      <c r="C2052" s="4" t="s">
        <v>150</v>
      </c>
      <c r="D2052" s="4" t="s">
        <v>150</v>
      </c>
      <c r="E2052" s="4" t="s">
        <v>5</v>
      </c>
      <c r="F2052" s="4" t="s">
        <v>590</v>
      </c>
      <c r="G2052" s="7" t="s">
        <v>11</v>
      </c>
      <c r="H2052" s="6" t="s">
        <v>11</v>
      </c>
      <c r="I2052" s="4" t="s">
        <v>10</v>
      </c>
      <c r="J2052" s="4" t="s">
        <v>9</v>
      </c>
      <c r="K2052" s="4" t="s">
        <v>0</v>
      </c>
    </row>
    <row r="2053" spans="1:11" ht="15.75" hidden="1" customHeight="1" x14ac:dyDescent="0.2">
      <c r="B2053" s="4" t="s">
        <v>8</v>
      </c>
      <c r="C2053" s="4" t="s">
        <v>150</v>
      </c>
      <c r="D2053" s="4" t="s">
        <v>150</v>
      </c>
      <c r="E2053" s="4" t="s">
        <v>23</v>
      </c>
      <c r="F2053" s="4" t="s">
        <v>589</v>
      </c>
      <c r="G2053" s="7" t="s">
        <v>11</v>
      </c>
      <c r="H2053" s="6" t="s">
        <v>11</v>
      </c>
      <c r="I2053" s="4" t="s">
        <v>109</v>
      </c>
      <c r="J2053" s="4" t="s">
        <v>15</v>
      </c>
      <c r="K2053" s="4" t="s">
        <v>367</v>
      </c>
    </row>
    <row r="2054" spans="1:11" ht="15.75" hidden="1" customHeight="1" x14ac:dyDescent="0.2">
      <c r="B2054" s="4" t="s">
        <v>8</v>
      </c>
      <c r="C2054" s="4" t="s">
        <v>89</v>
      </c>
      <c r="D2054" s="4" t="s">
        <v>88</v>
      </c>
      <c r="E2054" s="4" t="s">
        <v>17</v>
      </c>
      <c r="F2054" s="4" t="s">
        <v>588</v>
      </c>
      <c r="G2054" s="7" t="s">
        <v>11</v>
      </c>
      <c r="H2054" s="6" t="s">
        <v>11</v>
      </c>
      <c r="I2054" s="4" t="s">
        <v>10</v>
      </c>
      <c r="J2054" s="4" t="s">
        <v>15</v>
      </c>
      <c r="K2054" s="4" t="s">
        <v>75</v>
      </c>
    </row>
    <row r="2055" spans="1:11" ht="15.75" hidden="1" customHeight="1" x14ac:dyDescent="0.2">
      <c r="B2055" s="4" t="s">
        <v>8</v>
      </c>
      <c r="C2055" s="4" t="s">
        <v>534</v>
      </c>
      <c r="D2055" s="4" t="s">
        <v>71</v>
      </c>
      <c r="E2055" s="4" t="s">
        <v>23</v>
      </c>
      <c r="F2055" s="4" t="s">
        <v>587</v>
      </c>
      <c r="G2055" s="7" t="s">
        <v>11</v>
      </c>
      <c r="H2055" s="6" t="s">
        <v>11</v>
      </c>
      <c r="I2055" s="4" t="s">
        <v>10</v>
      </c>
      <c r="J2055" s="4" t="s">
        <v>20</v>
      </c>
      <c r="K2055" s="4" t="s">
        <v>0</v>
      </c>
    </row>
    <row r="2056" spans="1:11" ht="15.75" hidden="1" customHeight="1" x14ac:dyDescent="0.2">
      <c r="B2056" s="4" t="s">
        <v>8</v>
      </c>
      <c r="C2056" s="4" t="s">
        <v>150</v>
      </c>
      <c r="D2056" s="4" t="s">
        <v>150</v>
      </c>
      <c r="E2056" s="4" t="s">
        <v>23</v>
      </c>
      <c r="F2056" s="4" t="s">
        <v>586</v>
      </c>
      <c r="G2056" s="7" t="s">
        <v>11</v>
      </c>
      <c r="H2056" s="6" t="s">
        <v>11</v>
      </c>
      <c r="I2056" s="4" t="s">
        <v>197</v>
      </c>
      <c r="J2056" s="4" t="s">
        <v>1</v>
      </c>
      <c r="K2056" s="4" t="s">
        <v>367</v>
      </c>
    </row>
    <row r="2057" spans="1:11" ht="15.75" customHeight="1" x14ac:dyDescent="0.2">
      <c r="A2057" s="1">
        <v>202</v>
      </c>
      <c r="B2057" s="4" t="s">
        <v>8</v>
      </c>
      <c r="C2057" s="4" t="s">
        <v>585</v>
      </c>
      <c r="D2057" s="4" t="s">
        <v>28</v>
      </c>
      <c r="E2057" s="4" t="s">
        <v>81</v>
      </c>
      <c r="F2057" s="4" t="s">
        <v>584</v>
      </c>
      <c r="G2057" s="7" t="s">
        <v>3</v>
      </c>
      <c r="H2057" s="6" t="s">
        <v>3</v>
      </c>
      <c r="I2057" s="4" t="s">
        <v>10</v>
      </c>
      <c r="J2057" s="4" t="s">
        <v>20</v>
      </c>
      <c r="K2057" s="4" t="s">
        <v>0</v>
      </c>
    </row>
    <row r="2058" spans="1:11" ht="15.75" customHeight="1" x14ac:dyDescent="0.2">
      <c r="A2058" s="1">
        <v>203</v>
      </c>
      <c r="B2058" s="4" t="s">
        <v>8</v>
      </c>
      <c r="C2058" s="4" t="s">
        <v>583</v>
      </c>
      <c r="D2058" s="4" t="s">
        <v>88</v>
      </c>
      <c r="E2058" s="4" t="s">
        <v>23</v>
      </c>
      <c r="F2058" s="4" t="s">
        <v>582</v>
      </c>
      <c r="G2058" s="7" t="s">
        <v>3</v>
      </c>
      <c r="H2058" s="6" t="s">
        <v>3</v>
      </c>
      <c r="I2058" s="4" t="s">
        <v>10</v>
      </c>
      <c r="J2058" s="4" t="s">
        <v>15</v>
      </c>
      <c r="K2058" s="4" t="s">
        <v>0</v>
      </c>
    </row>
    <row r="2059" spans="1:11" ht="15.75" customHeight="1" x14ac:dyDescent="0.2">
      <c r="A2059" s="1">
        <v>204</v>
      </c>
      <c r="B2059" s="4" t="s">
        <v>8</v>
      </c>
      <c r="C2059" s="4" t="s">
        <v>581</v>
      </c>
      <c r="D2059" s="4" t="s">
        <v>221</v>
      </c>
      <c r="E2059" s="4" t="s">
        <v>17</v>
      </c>
      <c r="F2059" s="4" t="s">
        <v>580</v>
      </c>
      <c r="G2059" s="7" t="s">
        <v>3</v>
      </c>
      <c r="H2059" s="6" t="s">
        <v>3</v>
      </c>
      <c r="I2059" s="4" t="s">
        <v>86</v>
      </c>
      <c r="J2059" s="4" t="s">
        <v>15</v>
      </c>
      <c r="K2059" s="4" t="s">
        <v>579</v>
      </c>
    </row>
    <row r="2060" spans="1:11" ht="15.75" hidden="1" customHeight="1" x14ac:dyDescent="0.2">
      <c r="B2060" s="4" t="s">
        <v>8</v>
      </c>
      <c r="C2060" s="4" t="s">
        <v>89</v>
      </c>
      <c r="D2060" s="4" t="s">
        <v>88</v>
      </c>
      <c r="E2060" s="4" t="s">
        <v>17</v>
      </c>
      <c r="F2060" s="4" t="s">
        <v>578</v>
      </c>
      <c r="G2060" s="7" t="s">
        <v>11</v>
      </c>
      <c r="H2060" s="6" t="s">
        <v>11</v>
      </c>
      <c r="I2060" s="4" t="s">
        <v>10</v>
      </c>
      <c r="J2060" s="4" t="s">
        <v>15</v>
      </c>
      <c r="K2060" s="4" t="s">
        <v>75</v>
      </c>
    </row>
    <row r="2061" spans="1:11" ht="15.75" hidden="1" customHeight="1" x14ac:dyDescent="0.2">
      <c r="B2061" s="4" t="s">
        <v>8</v>
      </c>
      <c r="C2061" s="4" t="s">
        <v>271</v>
      </c>
      <c r="D2061" s="4" t="s">
        <v>94</v>
      </c>
      <c r="E2061" s="4" t="s">
        <v>5</v>
      </c>
      <c r="F2061" s="4" t="s">
        <v>577</v>
      </c>
      <c r="G2061" s="6" t="s">
        <v>272</v>
      </c>
      <c r="H2061" s="6">
        <v>19</v>
      </c>
      <c r="I2061" s="4" t="s">
        <v>10</v>
      </c>
      <c r="J2061" s="4" t="s">
        <v>15</v>
      </c>
      <c r="K2061" s="4" t="s">
        <v>0</v>
      </c>
    </row>
    <row r="2062" spans="1:11" ht="15.75" hidden="1" customHeight="1" x14ac:dyDescent="0.2">
      <c r="B2062" s="4" t="s">
        <v>8</v>
      </c>
      <c r="C2062" s="4" t="s">
        <v>576</v>
      </c>
      <c r="D2062" s="4" t="s">
        <v>66</v>
      </c>
      <c r="E2062" s="4" t="s">
        <v>23</v>
      </c>
      <c r="F2062" s="4" t="s">
        <v>575</v>
      </c>
      <c r="G2062" s="7" t="str">
        <f>HYPERLINK("https://www.facebook.com/salvarma/posts/10220122162984753","Social media")</f>
        <v>Social media</v>
      </c>
      <c r="H2062" s="6" t="s">
        <v>11</v>
      </c>
      <c r="I2062" s="4" t="s">
        <v>10</v>
      </c>
      <c r="J2062" s="4" t="s">
        <v>20</v>
      </c>
      <c r="K2062" s="4" t="s">
        <v>75</v>
      </c>
    </row>
    <row r="2063" spans="1:11" ht="15.75" hidden="1" customHeight="1" x14ac:dyDescent="0.2">
      <c r="B2063" s="4" t="s">
        <v>8</v>
      </c>
      <c r="C2063" s="4" t="s">
        <v>574</v>
      </c>
      <c r="D2063" s="4" t="s">
        <v>236</v>
      </c>
      <c r="E2063" s="4" t="s">
        <v>17</v>
      </c>
      <c r="F2063" s="4" t="s">
        <v>573</v>
      </c>
      <c r="G2063" s="7" t="str">
        <f>HYPERLINK("https://www.facebook.com/groups/goapetlife/permalink/1800742140025740/","Social media")</f>
        <v>Social media</v>
      </c>
      <c r="H2063" s="6" t="s">
        <v>11</v>
      </c>
      <c r="I2063" s="4" t="s">
        <v>10</v>
      </c>
      <c r="J2063" s="4" t="s">
        <v>15</v>
      </c>
      <c r="K2063" s="4" t="s">
        <v>0</v>
      </c>
    </row>
    <row r="2064" spans="1:11" ht="15.75" customHeight="1" x14ac:dyDescent="0.2">
      <c r="A2064" s="1">
        <v>205</v>
      </c>
      <c r="B2064" s="4" t="s">
        <v>8</v>
      </c>
      <c r="C2064" s="4" t="s">
        <v>572</v>
      </c>
      <c r="D2064" s="4" t="s">
        <v>42</v>
      </c>
      <c r="E2064" s="4" t="s">
        <v>81</v>
      </c>
      <c r="F2064" s="4" t="s">
        <v>571</v>
      </c>
      <c r="G2064" s="7" t="str">
        <f>HYPERLINK("https://www.indiatoday.in/india/story/man-held-for-raping-cows-at-shelter-in-ayodhya-up-1531300-2019-05-21","News")</f>
        <v>News</v>
      </c>
      <c r="H2064" s="6" t="s">
        <v>3</v>
      </c>
      <c r="I2064" s="4" t="s">
        <v>109</v>
      </c>
      <c r="J2064" s="4" t="s">
        <v>82</v>
      </c>
      <c r="K2064" s="4" t="s">
        <v>57</v>
      </c>
    </row>
    <row r="2065" spans="1:11" ht="15.75" customHeight="1" x14ac:dyDescent="0.2">
      <c r="A2065" s="1">
        <v>206</v>
      </c>
      <c r="B2065" s="4" t="s">
        <v>8</v>
      </c>
      <c r="C2065" s="4" t="s">
        <v>150</v>
      </c>
      <c r="D2065" s="4" t="s">
        <v>150</v>
      </c>
      <c r="E2065" s="4" t="s">
        <v>23</v>
      </c>
      <c r="F2065" s="4" t="s">
        <v>570</v>
      </c>
      <c r="G2065" s="7" t="s">
        <v>3</v>
      </c>
      <c r="H2065" s="6" t="s">
        <v>3</v>
      </c>
      <c r="I2065" s="4" t="s">
        <v>10</v>
      </c>
      <c r="J2065" s="4" t="s">
        <v>15</v>
      </c>
      <c r="K2065" s="4" t="s">
        <v>0</v>
      </c>
    </row>
    <row r="2066" spans="1:11" ht="15.75" hidden="1" customHeight="1" x14ac:dyDescent="0.2">
      <c r="B2066" s="4" t="s">
        <v>8</v>
      </c>
      <c r="C2066" s="4" t="s">
        <v>271</v>
      </c>
      <c r="D2066" s="4" t="s">
        <v>94</v>
      </c>
      <c r="E2066" s="4" t="s">
        <v>17</v>
      </c>
      <c r="F2066" s="4" t="s">
        <v>569</v>
      </c>
      <c r="G2066" s="7" t="s">
        <v>11</v>
      </c>
      <c r="H2066" s="6" t="s">
        <v>11</v>
      </c>
      <c r="I2066" s="4" t="s">
        <v>10</v>
      </c>
      <c r="J2066" s="4" t="s">
        <v>15</v>
      </c>
      <c r="K2066" s="4" t="s">
        <v>0</v>
      </c>
    </row>
    <row r="2067" spans="1:11" ht="15.75" customHeight="1" x14ac:dyDescent="0.2">
      <c r="A2067" s="1">
        <v>207</v>
      </c>
      <c r="B2067" s="4" t="s">
        <v>8</v>
      </c>
      <c r="C2067" s="4" t="s">
        <v>150</v>
      </c>
      <c r="D2067" s="4" t="s">
        <v>150</v>
      </c>
      <c r="E2067" s="4" t="s">
        <v>27</v>
      </c>
      <c r="F2067" s="4" t="s">
        <v>568</v>
      </c>
      <c r="G2067" s="7" t="s">
        <v>3</v>
      </c>
      <c r="H2067" s="6" t="s">
        <v>3</v>
      </c>
      <c r="I2067" s="4" t="s">
        <v>10</v>
      </c>
      <c r="J2067" s="4" t="s">
        <v>20</v>
      </c>
      <c r="K2067" s="4" t="s">
        <v>0</v>
      </c>
    </row>
    <row r="2068" spans="1:11" ht="15.75" hidden="1" customHeight="1" x14ac:dyDescent="0.2">
      <c r="B2068" s="4" t="s">
        <v>8</v>
      </c>
      <c r="C2068" s="4" t="s">
        <v>228</v>
      </c>
      <c r="D2068" s="4" t="s">
        <v>36</v>
      </c>
      <c r="E2068" s="4" t="s">
        <v>17</v>
      </c>
      <c r="F2068" s="4" t="s">
        <v>567</v>
      </c>
      <c r="G2068" s="4" t="s">
        <v>289</v>
      </c>
      <c r="H2068" s="6" t="s">
        <v>272</v>
      </c>
      <c r="I2068" s="4" t="s">
        <v>281</v>
      </c>
      <c r="J2068" s="4" t="s">
        <v>50</v>
      </c>
      <c r="K2068" s="4" t="s">
        <v>518</v>
      </c>
    </row>
    <row r="2069" spans="1:11" ht="15.75" hidden="1" customHeight="1" x14ac:dyDescent="0.2">
      <c r="B2069" s="4" t="s">
        <v>8</v>
      </c>
      <c r="C2069" s="4" t="s">
        <v>566</v>
      </c>
      <c r="D2069" s="4" t="s">
        <v>42</v>
      </c>
      <c r="E2069" s="4" t="s">
        <v>17</v>
      </c>
      <c r="F2069" s="4" t="s">
        <v>565</v>
      </c>
      <c r="G2069" s="7" t="s">
        <v>11</v>
      </c>
      <c r="H2069" s="6" t="s">
        <v>11</v>
      </c>
      <c r="I2069" s="4" t="s">
        <v>10</v>
      </c>
      <c r="J2069" s="4" t="s">
        <v>20</v>
      </c>
      <c r="K2069" s="4" t="s">
        <v>0</v>
      </c>
    </row>
    <row r="2070" spans="1:11" ht="15.75" hidden="1" customHeight="1" x14ac:dyDescent="0.2">
      <c r="B2070" s="4" t="s">
        <v>8</v>
      </c>
      <c r="C2070" s="4" t="s">
        <v>228</v>
      </c>
      <c r="D2070" s="4" t="s">
        <v>36</v>
      </c>
      <c r="E2070" s="4" t="s">
        <v>159</v>
      </c>
      <c r="F2070" s="4" t="s">
        <v>564</v>
      </c>
      <c r="G2070" s="4" t="s">
        <v>289</v>
      </c>
      <c r="H2070" s="6" t="s">
        <v>272</v>
      </c>
      <c r="I2070" s="4" t="s">
        <v>281</v>
      </c>
      <c r="J2070" s="4" t="s">
        <v>50</v>
      </c>
      <c r="K2070" s="4" t="s">
        <v>538</v>
      </c>
    </row>
    <row r="2071" spans="1:11" ht="15.75" hidden="1" customHeight="1" x14ac:dyDescent="0.2">
      <c r="B2071" s="4" t="s">
        <v>8</v>
      </c>
      <c r="C2071" s="4" t="s">
        <v>271</v>
      </c>
      <c r="D2071" s="4" t="s">
        <v>94</v>
      </c>
      <c r="E2071" s="4" t="s">
        <v>5</v>
      </c>
      <c r="F2071" s="4" t="s">
        <v>563</v>
      </c>
      <c r="G2071" s="6" t="s">
        <v>272</v>
      </c>
      <c r="H2071" s="6">
        <v>19</v>
      </c>
      <c r="I2071" s="4" t="s">
        <v>10</v>
      </c>
      <c r="J2071" s="4" t="s">
        <v>15</v>
      </c>
      <c r="K2071" s="4" t="s">
        <v>0</v>
      </c>
    </row>
    <row r="2072" spans="1:11" ht="15.75" hidden="1" customHeight="1" x14ac:dyDescent="0.2">
      <c r="B2072" s="4" t="s">
        <v>8</v>
      </c>
      <c r="C2072" s="4" t="s">
        <v>150</v>
      </c>
      <c r="D2072" s="4" t="s">
        <v>150</v>
      </c>
      <c r="E2072" s="4" t="s">
        <v>23</v>
      </c>
      <c r="F2072" s="4" t="s">
        <v>562</v>
      </c>
      <c r="G2072" s="7" t="s">
        <v>11</v>
      </c>
      <c r="H2072" s="6" t="s">
        <v>11</v>
      </c>
      <c r="I2072" s="4" t="s">
        <v>10</v>
      </c>
      <c r="J2072" s="4" t="s">
        <v>20</v>
      </c>
      <c r="K2072" s="4" t="s">
        <v>0</v>
      </c>
    </row>
    <row r="2073" spans="1:11" ht="15.75" hidden="1" customHeight="1" x14ac:dyDescent="0.2">
      <c r="B2073" s="4" t="s">
        <v>8</v>
      </c>
      <c r="C2073" s="4"/>
      <c r="D2073" s="4" t="s">
        <v>236</v>
      </c>
      <c r="E2073" s="4" t="s">
        <v>17</v>
      </c>
      <c r="F2073" s="4" t="s">
        <v>561</v>
      </c>
      <c r="G2073" s="7" t="str">
        <f>HYPERLINK("https://www.facebook.com/groups/1667058386874380/permalink/2450798448500366/","Social media")</f>
        <v>Social media</v>
      </c>
      <c r="H2073" s="6" t="s">
        <v>11</v>
      </c>
      <c r="I2073" s="4" t="s">
        <v>10</v>
      </c>
      <c r="J2073" s="4" t="s">
        <v>15</v>
      </c>
      <c r="K2073" s="4" t="s">
        <v>0</v>
      </c>
    </row>
    <row r="2074" spans="1:11" ht="15.75" hidden="1" customHeight="1" x14ac:dyDescent="0.2">
      <c r="B2074" s="4" t="s">
        <v>8</v>
      </c>
      <c r="C2074" s="4" t="s">
        <v>271</v>
      </c>
      <c r="D2074" s="4" t="s">
        <v>94</v>
      </c>
      <c r="E2074" s="4" t="s">
        <v>5</v>
      </c>
      <c r="F2074" s="4" t="s">
        <v>560</v>
      </c>
      <c r="G2074" s="4" t="s">
        <v>559</v>
      </c>
      <c r="H2074" s="6">
        <v>2398</v>
      </c>
      <c r="I2074" s="4" t="s">
        <v>10</v>
      </c>
      <c r="J2074" s="4" t="s">
        <v>15</v>
      </c>
      <c r="K2074" s="4" t="s">
        <v>0</v>
      </c>
    </row>
    <row r="2075" spans="1:11" ht="15.75" hidden="1" customHeight="1" x14ac:dyDescent="0.2">
      <c r="B2075" s="4" t="s">
        <v>8</v>
      </c>
      <c r="C2075" s="4"/>
      <c r="D2075" s="4" t="s">
        <v>236</v>
      </c>
      <c r="E2075" s="4" t="s">
        <v>17</v>
      </c>
      <c r="F2075" s="4" t="s">
        <v>558</v>
      </c>
      <c r="G2075" s="4" t="s">
        <v>395</v>
      </c>
      <c r="H2075" s="6" t="s">
        <v>11</v>
      </c>
      <c r="I2075" s="4" t="s">
        <v>10</v>
      </c>
      <c r="J2075" s="4" t="s">
        <v>15</v>
      </c>
      <c r="K2075" s="4" t="s">
        <v>0</v>
      </c>
    </row>
    <row r="2076" spans="1:11" ht="15.75" hidden="1" customHeight="1" x14ac:dyDescent="0.2">
      <c r="B2076" s="4" t="s">
        <v>8</v>
      </c>
      <c r="C2076" s="4" t="s">
        <v>89</v>
      </c>
      <c r="D2076" s="4" t="s">
        <v>88</v>
      </c>
      <c r="E2076" s="4" t="s">
        <v>17</v>
      </c>
      <c r="F2076" s="4" t="s">
        <v>557</v>
      </c>
      <c r="G2076" s="7" t="s">
        <v>11</v>
      </c>
      <c r="H2076" s="6" t="s">
        <v>11</v>
      </c>
      <c r="I2076" s="4" t="s">
        <v>10</v>
      </c>
      <c r="J2076" s="4" t="s">
        <v>15</v>
      </c>
      <c r="K2076" s="4" t="s">
        <v>0</v>
      </c>
    </row>
    <row r="2077" spans="1:11" ht="15.75" hidden="1" customHeight="1" x14ac:dyDescent="0.2">
      <c r="B2077" s="4" t="s">
        <v>8</v>
      </c>
      <c r="C2077" s="4" t="s">
        <v>228</v>
      </c>
      <c r="D2077" s="4" t="s">
        <v>36</v>
      </c>
      <c r="E2077" s="4" t="s">
        <v>17</v>
      </c>
      <c r="F2077" s="4" t="s">
        <v>556</v>
      </c>
      <c r="G2077" s="4" t="s">
        <v>289</v>
      </c>
      <c r="H2077" s="6" t="s">
        <v>272</v>
      </c>
      <c r="I2077" s="4" t="s">
        <v>292</v>
      </c>
      <c r="J2077" s="4" t="s">
        <v>50</v>
      </c>
      <c r="K2077" s="4" t="s">
        <v>555</v>
      </c>
    </row>
    <row r="2078" spans="1:11" ht="15.75" hidden="1" customHeight="1" x14ac:dyDescent="0.2">
      <c r="B2078" s="4" t="s">
        <v>8</v>
      </c>
      <c r="C2078" s="4" t="s">
        <v>228</v>
      </c>
      <c r="D2078" s="4" t="s">
        <v>36</v>
      </c>
      <c r="E2078" s="4" t="s">
        <v>17</v>
      </c>
      <c r="F2078" s="4" t="s">
        <v>553</v>
      </c>
      <c r="G2078" s="4" t="s">
        <v>273</v>
      </c>
      <c r="H2078" s="6" t="s">
        <v>272</v>
      </c>
      <c r="I2078" s="4" t="s">
        <v>10</v>
      </c>
      <c r="J2078" s="4" t="s">
        <v>15</v>
      </c>
      <c r="K2078" s="4" t="s">
        <v>0</v>
      </c>
    </row>
    <row r="2079" spans="1:11" ht="15.75" customHeight="1" x14ac:dyDescent="0.2">
      <c r="A2079" s="1">
        <v>208</v>
      </c>
      <c r="B2079" s="4" t="s">
        <v>8</v>
      </c>
      <c r="C2079" s="4" t="s">
        <v>552</v>
      </c>
      <c r="D2079" s="4" t="s">
        <v>551</v>
      </c>
      <c r="E2079" s="4" t="s">
        <v>5</v>
      </c>
      <c r="F2079" s="4" t="s">
        <v>550</v>
      </c>
      <c r="G2079" s="7" t="s">
        <v>3</v>
      </c>
      <c r="H2079" s="6" t="s">
        <v>3</v>
      </c>
      <c r="I2079" s="4" t="s">
        <v>2</v>
      </c>
      <c r="J2079" s="4" t="s">
        <v>1</v>
      </c>
      <c r="K2079" s="4" t="s">
        <v>0</v>
      </c>
    </row>
    <row r="2080" spans="1:11" ht="15.75" hidden="1" customHeight="1" x14ac:dyDescent="0.2">
      <c r="B2080" s="4" t="s">
        <v>8</v>
      </c>
      <c r="C2080" s="4" t="s">
        <v>95</v>
      </c>
      <c r="D2080" s="4" t="s">
        <v>94</v>
      </c>
      <c r="E2080" s="4" t="s">
        <v>17</v>
      </c>
      <c r="F2080" s="4" t="s">
        <v>549</v>
      </c>
      <c r="G2080" s="7" t="s">
        <v>11</v>
      </c>
      <c r="H2080" s="6" t="s">
        <v>11</v>
      </c>
      <c r="I2080" s="4" t="s">
        <v>10</v>
      </c>
      <c r="J2080" s="4" t="s">
        <v>15</v>
      </c>
      <c r="K2080" s="4" t="s">
        <v>0</v>
      </c>
    </row>
    <row r="2081" spans="1:11" ht="15.75" hidden="1" customHeight="1" x14ac:dyDescent="0.2">
      <c r="B2081" s="4" t="s">
        <v>8</v>
      </c>
      <c r="C2081" s="4" t="s">
        <v>271</v>
      </c>
      <c r="D2081" s="4" t="s">
        <v>94</v>
      </c>
      <c r="E2081" s="4" t="s">
        <v>5</v>
      </c>
      <c r="F2081" s="4" t="s">
        <v>548</v>
      </c>
      <c r="G2081" s="6" t="s">
        <v>272</v>
      </c>
      <c r="H2081" s="6">
        <v>19</v>
      </c>
      <c r="I2081" s="4" t="s">
        <v>2</v>
      </c>
      <c r="J2081" s="4" t="s">
        <v>15</v>
      </c>
      <c r="K2081" s="4" t="s">
        <v>75</v>
      </c>
    </row>
    <row r="2082" spans="1:11" ht="15.75" hidden="1" customHeight="1" x14ac:dyDescent="0.2">
      <c r="B2082" s="4" t="s">
        <v>8</v>
      </c>
      <c r="C2082" s="4" t="s">
        <v>228</v>
      </c>
      <c r="D2082" s="4" t="s">
        <v>36</v>
      </c>
      <c r="E2082" s="4" t="s">
        <v>17</v>
      </c>
      <c r="F2082" s="4" t="s">
        <v>547</v>
      </c>
      <c r="G2082" s="4" t="s">
        <v>273</v>
      </c>
      <c r="H2082" s="6" t="s">
        <v>272</v>
      </c>
      <c r="I2082" s="4" t="s">
        <v>2</v>
      </c>
      <c r="J2082" s="4" t="s">
        <v>15</v>
      </c>
      <c r="K2082" s="4" t="s">
        <v>0</v>
      </c>
    </row>
    <row r="2083" spans="1:11" ht="15.75" hidden="1" customHeight="1" x14ac:dyDescent="0.2">
      <c r="B2083" s="4" t="s">
        <v>8</v>
      </c>
      <c r="C2083" s="4" t="s">
        <v>228</v>
      </c>
      <c r="D2083" s="4" t="s">
        <v>36</v>
      </c>
      <c r="E2083" s="4" t="s">
        <v>5</v>
      </c>
      <c r="F2083" s="4" t="s">
        <v>546</v>
      </c>
      <c r="G2083" s="7" t="str">
        <f>HYPERLINK("https://www.instagram.com/p/BykuNXllhp-/","Social media")</f>
        <v>Social media</v>
      </c>
      <c r="H2083" s="6" t="s">
        <v>11</v>
      </c>
      <c r="I2083" s="4" t="s">
        <v>10</v>
      </c>
      <c r="J2083" s="4" t="s">
        <v>15</v>
      </c>
      <c r="K2083" s="4" t="s">
        <v>0</v>
      </c>
    </row>
    <row r="2084" spans="1:11" ht="15.75" hidden="1" customHeight="1" x14ac:dyDescent="0.2">
      <c r="B2084" s="4" t="s">
        <v>8</v>
      </c>
      <c r="C2084" s="4" t="s">
        <v>545</v>
      </c>
      <c r="D2084" s="4" t="s">
        <v>42</v>
      </c>
      <c r="E2084" s="4" t="s">
        <v>17</v>
      </c>
      <c r="F2084" s="4" t="s">
        <v>544</v>
      </c>
      <c r="G2084" s="7" t="s">
        <v>11</v>
      </c>
      <c r="H2084" s="6" t="s">
        <v>11</v>
      </c>
      <c r="I2084" s="4" t="s">
        <v>10</v>
      </c>
      <c r="J2084" s="4" t="s">
        <v>15</v>
      </c>
      <c r="K2084" s="4" t="s">
        <v>57</v>
      </c>
    </row>
    <row r="2085" spans="1:11" ht="15.75" hidden="1" customHeight="1" x14ac:dyDescent="0.2">
      <c r="B2085" s="4" t="s">
        <v>8</v>
      </c>
      <c r="C2085" s="4"/>
      <c r="D2085" s="4" t="s">
        <v>236</v>
      </c>
      <c r="E2085" s="4" t="s">
        <v>17</v>
      </c>
      <c r="F2085" s="4" t="s">
        <v>543</v>
      </c>
      <c r="G2085" s="7" t="str">
        <f>HYPERLINK("https://www.facebook.com/groups/goapetlife/permalink/1847616555338298/","Social media")</f>
        <v>Social media</v>
      </c>
      <c r="H2085" s="6" t="s">
        <v>11</v>
      </c>
      <c r="I2085" s="4" t="s">
        <v>2</v>
      </c>
      <c r="J2085" s="4" t="s">
        <v>15</v>
      </c>
      <c r="K2085" s="4" t="s">
        <v>0</v>
      </c>
    </row>
    <row r="2086" spans="1:11" ht="15.75" hidden="1" customHeight="1" x14ac:dyDescent="0.2">
      <c r="B2086" s="4" t="s">
        <v>8</v>
      </c>
      <c r="C2086" s="4" t="s">
        <v>228</v>
      </c>
      <c r="D2086" s="4" t="s">
        <v>36</v>
      </c>
      <c r="E2086" s="4" t="s">
        <v>17</v>
      </c>
      <c r="F2086" s="4" t="s">
        <v>542</v>
      </c>
      <c r="G2086" s="4" t="s">
        <v>273</v>
      </c>
      <c r="H2086" s="6" t="s">
        <v>272</v>
      </c>
      <c r="I2086" s="4" t="s">
        <v>2</v>
      </c>
      <c r="J2086" s="4" t="s">
        <v>15</v>
      </c>
      <c r="K2086" s="4" t="s">
        <v>0</v>
      </c>
    </row>
    <row r="2087" spans="1:11" ht="15.75" hidden="1" customHeight="1" x14ac:dyDescent="0.2">
      <c r="B2087" s="4" t="s">
        <v>8</v>
      </c>
      <c r="C2087" s="4" t="s">
        <v>507</v>
      </c>
      <c r="D2087" s="4" t="s">
        <v>150</v>
      </c>
      <c r="E2087" s="4" t="s">
        <v>17</v>
      </c>
      <c r="F2087" s="4" t="s">
        <v>541</v>
      </c>
      <c r="G2087" s="4" t="s">
        <v>11</v>
      </c>
      <c r="H2087" s="6" t="s">
        <v>11</v>
      </c>
      <c r="I2087" s="4" t="s">
        <v>2</v>
      </c>
      <c r="J2087" s="4" t="s">
        <v>15</v>
      </c>
      <c r="K2087" s="4" t="s">
        <v>0</v>
      </c>
    </row>
    <row r="2088" spans="1:11" ht="15.75" hidden="1" customHeight="1" x14ac:dyDescent="0.2">
      <c r="B2088" s="4" t="s">
        <v>8</v>
      </c>
      <c r="C2088" s="4" t="s">
        <v>271</v>
      </c>
      <c r="D2088" s="4" t="s">
        <v>94</v>
      </c>
      <c r="E2088" s="4" t="s">
        <v>17</v>
      </c>
      <c r="F2088" s="4" t="s">
        <v>540</v>
      </c>
      <c r="G2088" s="7" t="s">
        <v>11</v>
      </c>
      <c r="H2088" s="6" t="s">
        <v>11</v>
      </c>
      <c r="I2088" s="4" t="s">
        <v>10</v>
      </c>
      <c r="J2088" s="4" t="s">
        <v>15</v>
      </c>
      <c r="K2088" s="4" t="s">
        <v>0</v>
      </c>
    </row>
    <row r="2089" spans="1:11" ht="15.75" hidden="1" customHeight="1" x14ac:dyDescent="0.2">
      <c r="B2089" s="4" t="s">
        <v>8</v>
      </c>
      <c r="C2089" s="4" t="s">
        <v>228</v>
      </c>
      <c r="D2089" s="4" t="s">
        <v>36</v>
      </c>
      <c r="E2089" s="4" t="s">
        <v>159</v>
      </c>
      <c r="F2089" s="4" t="s">
        <v>539</v>
      </c>
      <c r="G2089" s="4" t="s">
        <v>289</v>
      </c>
      <c r="H2089" s="6" t="s">
        <v>272</v>
      </c>
      <c r="I2089" s="4" t="s">
        <v>281</v>
      </c>
      <c r="J2089" s="4" t="s">
        <v>50</v>
      </c>
      <c r="K2089" s="4" t="s">
        <v>538</v>
      </c>
    </row>
    <row r="2090" spans="1:11" ht="15.75" hidden="1" customHeight="1" x14ac:dyDescent="0.2">
      <c r="B2090" s="4" t="s">
        <v>8</v>
      </c>
      <c r="C2090" s="4" t="s">
        <v>537</v>
      </c>
      <c r="D2090" s="4" t="s">
        <v>236</v>
      </c>
      <c r="E2090" s="4" t="s">
        <v>5</v>
      </c>
      <c r="F2090" s="4" t="s">
        <v>536</v>
      </c>
      <c r="G2090" s="7" t="str">
        <f>HYPERLINK("https://www.facebook.com/groups/goapetlife/permalink/1860594144040539/","Social media")</f>
        <v>Social media</v>
      </c>
      <c r="H2090" s="6" t="s">
        <v>11</v>
      </c>
      <c r="I2090" s="4" t="s">
        <v>197</v>
      </c>
      <c r="J2090" s="4" t="s">
        <v>157</v>
      </c>
      <c r="K2090" s="4" t="s">
        <v>446</v>
      </c>
    </row>
    <row r="2091" spans="1:11" ht="15.75" hidden="1" customHeight="1" x14ac:dyDescent="0.2">
      <c r="B2091" s="4" t="s">
        <v>8</v>
      </c>
      <c r="C2091" s="4" t="s">
        <v>228</v>
      </c>
      <c r="D2091" s="4" t="s">
        <v>36</v>
      </c>
      <c r="E2091" s="4" t="s">
        <v>17</v>
      </c>
      <c r="F2091" s="4" t="s">
        <v>535</v>
      </c>
      <c r="G2091" s="4" t="s">
        <v>289</v>
      </c>
      <c r="H2091" s="6" t="s">
        <v>272</v>
      </c>
      <c r="I2091" s="4" t="s">
        <v>281</v>
      </c>
      <c r="J2091" s="4" t="s">
        <v>50</v>
      </c>
      <c r="K2091" s="4" t="s">
        <v>518</v>
      </c>
    </row>
    <row r="2092" spans="1:11" ht="15.75" customHeight="1" x14ac:dyDescent="0.2">
      <c r="A2092" s="1">
        <v>209</v>
      </c>
      <c r="B2092" s="4" t="s">
        <v>8</v>
      </c>
      <c r="C2092" s="4" t="s">
        <v>534</v>
      </c>
      <c r="D2092" s="4" t="s">
        <v>71</v>
      </c>
      <c r="E2092" s="4" t="s">
        <v>55</v>
      </c>
      <c r="F2092" s="4" t="s">
        <v>533</v>
      </c>
      <c r="G2092" s="7" t="s">
        <v>3</v>
      </c>
      <c r="H2092" s="6" t="s">
        <v>3</v>
      </c>
      <c r="I2092" s="4" t="s">
        <v>197</v>
      </c>
      <c r="J2092" s="4" t="s">
        <v>371</v>
      </c>
      <c r="K2092" s="4" t="s">
        <v>367</v>
      </c>
    </row>
    <row r="2093" spans="1:11" ht="15.75" hidden="1" customHeight="1" x14ac:dyDescent="0.2">
      <c r="B2093" s="4" t="s">
        <v>8</v>
      </c>
      <c r="C2093" s="4" t="s">
        <v>111</v>
      </c>
      <c r="D2093" s="4" t="s">
        <v>24</v>
      </c>
      <c r="E2093" s="4" t="s">
        <v>23</v>
      </c>
      <c r="F2093" s="4" t="s">
        <v>532</v>
      </c>
      <c r="G2093" s="7" t="s">
        <v>11</v>
      </c>
      <c r="H2093" s="6" t="s">
        <v>11</v>
      </c>
      <c r="I2093" s="4" t="s">
        <v>10</v>
      </c>
      <c r="J2093" s="4" t="s">
        <v>20</v>
      </c>
      <c r="K2093" s="4" t="s">
        <v>0</v>
      </c>
    </row>
    <row r="2094" spans="1:11" ht="15.75" hidden="1" customHeight="1" x14ac:dyDescent="0.2">
      <c r="B2094" s="4" t="s">
        <v>8</v>
      </c>
      <c r="C2094" s="4" t="s">
        <v>139</v>
      </c>
      <c r="D2094" s="4" t="s">
        <v>18</v>
      </c>
      <c r="E2094" s="4" t="s">
        <v>5</v>
      </c>
      <c r="F2094" s="4" t="s">
        <v>531</v>
      </c>
      <c r="G2094" s="7" t="str">
        <f>HYPERLINK("https://www.facebook.com/resqct/posts/10157226523931101","Social media")</f>
        <v>Social media</v>
      </c>
      <c r="H2094" s="6" t="s">
        <v>11</v>
      </c>
      <c r="I2094" s="4" t="s">
        <v>2</v>
      </c>
      <c r="J2094" s="4" t="s">
        <v>530</v>
      </c>
      <c r="K2094" s="4" t="s">
        <v>529</v>
      </c>
    </row>
    <row r="2095" spans="1:11" ht="15.75" customHeight="1" x14ac:dyDescent="0.2">
      <c r="A2095" s="1">
        <v>210</v>
      </c>
      <c r="B2095" s="4" t="s">
        <v>8</v>
      </c>
      <c r="C2095" s="4" t="s">
        <v>527</v>
      </c>
      <c r="D2095" s="4" t="s">
        <v>18</v>
      </c>
      <c r="E2095" s="4" t="s">
        <v>23</v>
      </c>
      <c r="F2095" s="4" t="s">
        <v>526</v>
      </c>
      <c r="G2095" s="7" t="s">
        <v>3</v>
      </c>
      <c r="H2095" s="6" t="s">
        <v>3</v>
      </c>
      <c r="I2095" s="4" t="s">
        <v>86</v>
      </c>
      <c r="J2095" s="4" t="s">
        <v>20</v>
      </c>
      <c r="K2095" s="4" t="s">
        <v>525</v>
      </c>
    </row>
    <row r="2096" spans="1:11" ht="15.75" customHeight="1" x14ac:dyDescent="0.2">
      <c r="A2096" s="1">
        <v>211</v>
      </c>
      <c r="B2096" s="4" t="s">
        <v>8</v>
      </c>
      <c r="C2096" s="4" t="s">
        <v>104</v>
      </c>
      <c r="D2096" s="4" t="s">
        <v>18</v>
      </c>
      <c r="E2096" s="4" t="s">
        <v>27</v>
      </c>
      <c r="F2096" s="4" t="s">
        <v>524</v>
      </c>
      <c r="G2096" s="7" t="s">
        <v>3</v>
      </c>
      <c r="H2096" s="6" t="s">
        <v>3</v>
      </c>
      <c r="I2096" s="4" t="s">
        <v>10</v>
      </c>
      <c r="J2096" s="4" t="s">
        <v>20</v>
      </c>
      <c r="K2096" s="4" t="s">
        <v>0</v>
      </c>
    </row>
    <row r="2097" spans="1:11" ht="15.75" hidden="1" customHeight="1" x14ac:dyDescent="0.2">
      <c r="B2097" s="4" t="s">
        <v>8</v>
      </c>
      <c r="C2097" s="4" t="s">
        <v>523</v>
      </c>
      <c r="D2097" s="4" t="s">
        <v>36</v>
      </c>
      <c r="E2097" s="4" t="s">
        <v>17</v>
      </c>
      <c r="F2097" s="4" t="s">
        <v>522</v>
      </c>
      <c r="G2097" s="7" t="str">
        <f>HYPERLINK("https://www.facebook.com/babita.raj.125/posts/10156529229292066","Social media")</f>
        <v>Social media</v>
      </c>
      <c r="H2097" s="6" t="s">
        <v>11</v>
      </c>
      <c r="I2097" s="4" t="s">
        <v>2</v>
      </c>
      <c r="J2097" s="4" t="s">
        <v>15</v>
      </c>
      <c r="K2097" s="4" t="s">
        <v>0</v>
      </c>
    </row>
    <row r="2098" spans="1:11" ht="15.75" hidden="1" customHeight="1" x14ac:dyDescent="0.2">
      <c r="B2098" s="4" t="s">
        <v>8</v>
      </c>
      <c r="C2098" s="4"/>
      <c r="D2098" s="4" t="s">
        <v>66</v>
      </c>
      <c r="E2098" s="4" t="s">
        <v>23</v>
      </c>
      <c r="F2098" s="4" t="s">
        <v>521</v>
      </c>
      <c r="G2098" s="7" t="str">
        <f>HYPERLINK("https://www.facebook.com/salvarma/posts/10220605288582591","Social media")</f>
        <v>Social media</v>
      </c>
      <c r="H2098" s="6" t="s">
        <v>11</v>
      </c>
      <c r="I2098" s="4" t="s">
        <v>10</v>
      </c>
      <c r="J2098" s="4" t="s">
        <v>82</v>
      </c>
      <c r="K2098" s="4" t="s">
        <v>0</v>
      </c>
    </row>
    <row r="2099" spans="1:11" ht="15.75" hidden="1" customHeight="1" x14ac:dyDescent="0.2">
      <c r="B2099" s="4" t="s">
        <v>8</v>
      </c>
      <c r="C2099" s="4" t="s">
        <v>228</v>
      </c>
      <c r="D2099" s="4" t="s">
        <v>36</v>
      </c>
      <c r="E2099" s="4" t="s">
        <v>159</v>
      </c>
      <c r="F2099" s="4" t="s">
        <v>520</v>
      </c>
      <c r="G2099" s="4" t="s">
        <v>289</v>
      </c>
      <c r="H2099" s="6" t="s">
        <v>272</v>
      </c>
      <c r="I2099" s="4" t="s">
        <v>292</v>
      </c>
      <c r="J2099" s="4" t="s">
        <v>50</v>
      </c>
      <c r="K2099" s="4" t="s">
        <v>280</v>
      </c>
    </row>
    <row r="2100" spans="1:11" ht="15.75" hidden="1" customHeight="1" x14ac:dyDescent="0.2">
      <c r="B2100" s="4" t="s">
        <v>8</v>
      </c>
      <c r="C2100" s="4" t="s">
        <v>228</v>
      </c>
      <c r="D2100" s="4" t="s">
        <v>36</v>
      </c>
      <c r="E2100" s="4" t="s">
        <v>17</v>
      </c>
      <c r="F2100" s="4" t="s">
        <v>519</v>
      </c>
      <c r="G2100" s="4" t="s">
        <v>289</v>
      </c>
      <c r="H2100" s="6" t="s">
        <v>272</v>
      </c>
      <c r="I2100" s="4" t="s">
        <v>281</v>
      </c>
      <c r="J2100" s="4" t="s">
        <v>50</v>
      </c>
      <c r="K2100" s="4" t="s">
        <v>518</v>
      </c>
    </row>
    <row r="2101" spans="1:11" ht="15.75" hidden="1" customHeight="1" x14ac:dyDescent="0.2">
      <c r="B2101" s="4" t="s">
        <v>8</v>
      </c>
      <c r="C2101" s="4" t="s">
        <v>228</v>
      </c>
      <c r="D2101" s="4" t="s">
        <v>36</v>
      </c>
      <c r="E2101" s="4" t="s">
        <v>159</v>
      </c>
      <c r="F2101" s="4" t="s">
        <v>517</v>
      </c>
      <c r="G2101" s="4" t="s">
        <v>289</v>
      </c>
      <c r="H2101" s="6" t="s">
        <v>272</v>
      </c>
      <c r="I2101" s="4" t="s">
        <v>292</v>
      </c>
      <c r="J2101" s="4" t="s">
        <v>50</v>
      </c>
      <c r="K2101" s="4" t="s">
        <v>280</v>
      </c>
    </row>
    <row r="2102" spans="1:11" ht="15.75" hidden="1" customHeight="1" x14ac:dyDescent="0.2">
      <c r="B2102" s="4" t="s">
        <v>8</v>
      </c>
      <c r="C2102" s="4"/>
      <c r="D2102" s="4" t="s">
        <v>236</v>
      </c>
      <c r="E2102" s="4" t="s">
        <v>17</v>
      </c>
      <c r="F2102" s="4" t="s">
        <v>516</v>
      </c>
      <c r="G2102" s="7" t="str">
        <f>HYPERLINK("https://www.facebook.com/angie.jones.1297/posts/10157064690264718","Social media")</f>
        <v>Social media</v>
      </c>
      <c r="H2102" s="6" t="s">
        <v>11</v>
      </c>
      <c r="I2102" s="4" t="s">
        <v>10</v>
      </c>
      <c r="J2102" s="4" t="s">
        <v>15</v>
      </c>
      <c r="K2102" s="4" t="s">
        <v>0</v>
      </c>
    </row>
    <row r="2103" spans="1:11" ht="15.75" hidden="1" customHeight="1" x14ac:dyDescent="0.2">
      <c r="B2103" s="4" t="s">
        <v>8</v>
      </c>
      <c r="C2103" s="4" t="s">
        <v>150</v>
      </c>
      <c r="D2103" s="4" t="s">
        <v>150</v>
      </c>
      <c r="E2103" s="4" t="s">
        <v>5</v>
      </c>
      <c r="F2103" s="4" t="s">
        <v>515</v>
      </c>
      <c r="G2103" s="7" t="s">
        <v>207</v>
      </c>
      <c r="H2103" s="6" t="s">
        <v>11</v>
      </c>
      <c r="I2103" s="4" t="s">
        <v>10</v>
      </c>
      <c r="J2103" s="4" t="s">
        <v>20</v>
      </c>
      <c r="K2103" s="4" t="s">
        <v>0</v>
      </c>
    </row>
    <row r="2104" spans="1:11" ht="15.75" hidden="1" customHeight="1" x14ac:dyDescent="0.2">
      <c r="B2104" s="4" t="s">
        <v>8</v>
      </c>
      <c r="C2104" s="4" t="s">
        <v>150</v>
      </c>
      <c r="D2104" s="4" t="s">
        <v>150</v>
      </c>
      <c r="E2104" s="4" t="s">
        <v>17</v>
      </c>
      <c r="F2104" s="4" t="s">
        <v>513</v>
      </c>
      <c r="G2104" s="7" t="s">
        <v>11</v>
      </c>
      <c r="H2104" s="6" t="s">
        <v>11</v>
      </c>
      <c r="I2104" s="4" t="s">
        <v>10</v>
      </c>
      <c r="J2104" s="4" t="s">
        <v>15</v>
      </c>
      <c r="K2104" s="4" t="s">
        <v>0</v>
      </c>
    </row>
    <row r="2105" spans="1:11" ht="15.75" hidden="1" customHeight="1" x14ac:dyDescent="0.2">
      <c r="B2105" s="4" t="s">
        <v>8</v>
      </c>
      <c r="C2105" s="4" t="s">
        <v>104</v>
      </c>
      <c r="D2105" s="4" t="s">
        <v>18</v>
      </c>
      <c r="E2105" s="4" t="s">
        <v>17</v>
      </c>
      <c r="F2105" s="4" t="s">
        <v>512</v>
      </c>
      <c r="G2105" s="7" t="s">
        <v>11</v>
      </c>
      <c r="H2105" s="6" t="s">
        <v>11</v>
      </c>
      <c r="I2105" s="4" t="s">
        <v>10</v>
      </c>
      <c r="J2105" s="4" t="s">
        <v>15</v>
      </c>
      <c r="K2105" s="4" t="s">
        <v>0</v>
      </c>
    </row>
    <row r="2106" spans="1:11" ht="15.75" customHeight="1" x14ac:dyDescent="0.2">
      <c r="A2106" s="1">
        <v>212</v>
      </c>
      <c r="B2106" s="4" t="s">
        <v>8</v>
      </c>
      <c r="C2106" s="4" t="s">
        <v>511</v>
      </c>
      <c r="D2106" s="4" t="s">
        <v>97</v>
      </c>
      <c r="E2106" s="4" t="s">
        <v>5</v>
      </c>
      <c r="F2106" s="4" t="s">
        <v>510</v>
      </c>
      <c r="G2106" s="7" t="s">
        <v>3</v>
      </c>
      <c r="H2106" s="6" t="s">
        <v>3</v>
      </c>
      <c r="I2106" s="4" t="s">
        <v>21</v>
      </c>
      <c r="J2106" s="4" t="s">
        <v>15</v>
      </c>
      <c r="K2106" s="4" t="s">
        <v>509</v>
      </c>
    </row>
    <row r="2107" spans="1:11" ht="15.75" hidden="1" customHeight="1" x14ac:dyDescent="0.2">
      <c r="B2107" s="4" t="s">
        <v>8</v>
      </c>
      <c r="C2107" s="4" t="s">
        <v>228</v>
      </c>
      <c r="D2107" s="4" t="s">
        <v>36</v>
      </c>
      <c r="E2107" s="4" t="s">
        <v>159</v>
      </c>
      <c r="F2107" s="4" t="s">
        <v>508</v>
      </c>
      <c r="G2107" s="4" t="s">
        <v>289</v>
      </c>
      <c r="H2107" s="6" t="s">
        <v>272</v>
      </c>
      <c r="I2107" s="4" t="s">
        <v>292</v>
      </c>
      <c r="J2107" s="4" t="s">
        <v>50</v>
      </c>
      <c r="K2107" s="4" t="s">
        <v>280</v>
      </c>
    </row>
    <row r="2108" spans="1:11" ht="15.75" hidden="1" customHeight="1" x14ac:dyDescent="0.2">
      <c r="B2108" s="4" t="s">
        <v>8</v>
      </c>
      <c r="C2108" s="4" t="s">
        <v>507</v>
      </c>
      <c r="D2108" s="4" t="s">
        <v>150</v>
      </c>
      <c r="E2108" s="4" t="s">
        <v>17</v>
      </c>
      <c r="F2108" s="4" t="s">
        <v>506</v>
      </c>
      <c r="G2108" s="7" t="s">
        <v>11</v>
      </c>
      <c r="H2108" s="6" t="s">
        <v>11</v>
      </c>
      <c r="I2108" s="4" t="s">
        <v>10</v>
      </c>
      <c r="J2108" s="4" t="s">
        <v>15</v>
      </c>
      <c r="K2108" s="4" t="s">
        <v>0</v>
      </c>
    </row>
    <row r="2109" spans="1:11" ht="15.75" customHeight="1" x14ac:dyDescent="0.2">
      <c r="A2109" s="1">
        <v>213</v>
      </c>
      <c r="B2109" s="4" t="s">
        <v>8</v>
      </c>
      <c r="C2109" s="4"/>
      <c r="D2109" s="4" t="s">
        <v>42</v>
      </c>
      <c r="E2109" s="4" t="s">
        <v>159</v>
      </c>
      <c r="F2109" s="4" t="s">
        <v>505</v>
      </c>
      <c r="G2109" s="7" t="s">
        <v>3</v>
      </c>
      <c r="H2109" s="6" t="s">
        <v>3</v>
      </c>
      <c r="I2109" s="4" t="s">
        <v>197</v>
      </c>
      <c r="J2109" s="4" t="s">
        <v>371</v>
      </c>
      <c r="K2109" s="4"/>
    </row>
    <row r="2110" spans="1:11" ht="15.75" customHeight="1" x14ac:dyDescent="0.2">
      <c r="A2110" s="1">
        <v>214</v>
      </c>
      <c r="B2110" s="4" t="s">
        <v>8</v>
      </c>
      <c r="C2110" s="4" t="s">
        <v>219</v>
      </c>
      <c r="D2110" s="4" t="s">
        <v>42</v>
      </c>
      <c r="E2110" s="4" t="s">
        <v>5</v>
      </c>
      <c r="F2110" s="4" t="s">
        <v>504</v>
      </c>
      <c r="G2110" s="7" t="s">
        <v>3</v>
      </c>
      <c r="H2110" s="6" t="s">
        <v>3</v>
      </c>
      <c r="I2110" s="4" t="s">
        <v>197</v>
      </c>
      <c r="J2110" s="4" t="s">
        <v>471</v>
      </c>
      <c r="K2110" s="4" t="s">
        <v>57</v>
      </c>
    </row>
    <row r="2111" spans="1:11" ht="15.75" hidden="1" customHeight="1" x14ac:dyDescent="0.2">
      <c r="B2111" s="4" t="s">
        <v>8</v>
      </c>
      <c r="C2111" s="4" t="s">
        <v>104</v>
      </c>
      <c r="D2111" s="4" t="s">
        <v>18</v>
      </c>
      <c r="E2111" s="4" t="s">
        <v>17</v>
      </c>
      <c r="F2111" s="4" t="s">
        <v>503</v>
      </c>
      <c r="G2111" s="7" t="s">
        <v>11</v>
      </c>
      <c r="H2111" s="6" t="s">
        <v>11</v>
      </c>
      <c r="I2111" s="4" t="s">
        <v>10</v>
      </c>
      <c r="J2111" s="4" t="s">
        <v>15</v>
      </c>
      <c r="K2111" s="4" t="s">
        <v>0</v>
      </c>
    </row>
    <row r="2112" spans="1:11" ht="15.75" customHeight="1" x14ac:dyDescent="0.2">
      <c r="A2112" s="1">
        <v>215</v>
      </c>
      <c r="B2112" s="4" t="s">
        <v>8</v>
      </c>
      <c r="C2112" s="4" t="s">
        <v>502</v>
      </c>
      <c r="D2112" s="4" t="s">
        <v>36</v>
      </c>
      <c r="E2112" s="4" t="s">
        <v>23</v>
      </c>
      <c r="F2112" s="4" t="s">
        <v>501</v>
      </c>
      <c r="G2112" s="7" t="str">
        <f>HYPERLINK("https://www.opindia.com/2019/07/mohammad-ansari-mangalore-rape-cow-arrested-police/","News")</f>
        <v>News</v>
      </c>
      <c r="H2112" s="6" t="s">
        <v>3</v>
      </c>
      <c r="I2112" s="4" t="s">
        <v>109</v>
      </c>
      <c r="J2112" s="4" t="s">
        <v>82</v>
      </c>
      <c r="K2112" s="4" t="s">
        <v>108</v>
      </c>
    </row>
    <row r="2113" spans="1:11" ht="15.75" hidden="1" customHeight="1" x14ac:dyDescent="0.2">
      <c r="B2113" s="4" t="s">
        <v>8</v>
      </c>
      <c r="C2113" s="4" t="s">
        <v>500</v>
      </c>
      <c r="D2113" s="4" t="s">
        <v>36</v>
      </c>
      <c r="E2113" s="4" t="s">
        <v>159</v>
      </c>
      <c r="F2113" s="4" t="s">
        <v>499</v>
      </c>
      <c r="G2113" s="4" t="s">
        <v>289</v>
      </c>
      <c r="H2113" s="6" t="s">
        <v>272</v>
      </c>
      <c r="I2113" s="4" t="s">
        <v>281</v>
      </c>
      <c r="J2113" s="4" t="s">
        <v>50</v>
      </c>
      <c r="K2113" s="4" t="s">
        <v>280</v>
      </c>
    </row>
    <row r="2114" spans="1:11" ht="15.75" hidden="1" customHeight="1" x14ac:dyDescent="0.2">
      <c r="B2114" s="4" t="s">
        <v>8</v>
      </c>
      <c r="C2114" s="4" t="s">
        <v>271</v>
      </c>
      <c r="D2114" s="4" t="s">
        <v>94</v>
      </c>
      <c r="E2114" s="4" t="s">
        <v>5</v>
      </c>
      <c r="F2114" s="4" t="s">
        <v>498</v>
      </c>
      <c r="G2114" s="6" t="s">
        <v>272</v>
      </c>
      <c r="H2114" s="6">
        <v>19</v>
      </c>
      <c r="I2114" s="4" t="s">
        <v>10</v>
      </c>
      <c r="J2114" s="4" t="s">
        <v>20</v>
      </c>
      <c r="K2114" s="4" t="s">
        <v>0</v>
      </c>
    </row>
    <row r="2115" spans="1:11" ht="15.75" hidden="1" customHeight="1" x14ac:dyDescent="0.2">
      <c r="B2115" s="4" t="s">
        <v>8</v>
      </c>
      <c r="C2115" s="4" t="s">
        <v>299</v>
      </c>
      <c r="D2115" s="4" t="s">
        <v>28</v>
      </c>
      <c r="E2115" s="4" t="s">
        <v>159</v>
      </c>
      <c r="F2115" s="4" t="s">
        <v>497</v>
      </c>
      <c r="G2115" s="7" t="s">
        <v>11</v>
      </c>
      <c r="H2115" s="6" t="s">
        <v>11</v>
      </c>
      <c r="I2115" s="4" t="s">
        <v>197</v>
      </c>
      <c r="J2115" s="4" t="s">
        <v>196</v>
      </c>
      <c r="K2115" s="4" t="s">
        <v>108</v>
      </c>
    </row>
    <row r="2116" spans="1:11" ht="15.75" customHeight="1" x14ac:dyDescent="0.2">
      <c r="A2116" s="1">
        <v>216</v>
      </c>
      <c r="B2116" s="4" t="s">
        <v>8</v>
      </c>
      <c r="C2116" s="4" t="s">
        <v>104</v>
      </c>
      <c r="D2116" s="4" t="s">
        <v>18</v>
      </c>
      <c r="E2116" s="4" t="s">
        <v>23</v>
      </c>
      <c r="F2116" s="4" t="s">
        <v>496</v>
      </c>
      <c r="G2116" s="7" t="str">
        <f>HYPERLINK("https://www.hindustantimes.com/mumbai-news/13-days-on-dog-beaten-up-by-guards-of-worli-building-dies/story-BEMSjMi9h8p6IE5wL8cRpI.html","News")</f>
        <v>News</v>
      </c>
      <c r="H2116" s="6" t="s">
        <v>3</v>
      </c>
      <c r="I2116" s="4" t="s">
        <v>10</v>
      </c>
      <c r="J2116" s="4" t="s">
        <v>20</v>
      </c>
      <c r="K2116" s="4" t="s">
        <v>0</v>
      </c>
    </row>
    <row r="2117" spans="1:11" ht="15.75" customHeight="1" x14ac:dyDescent="0.2">
      <c r="A2117" s="1">
        <v>217</v>
      </c>
      <c r="B2117" s="4" t="s">
        <v>8</v>
      </c>
      <c r="C2117" s="4" t="s">
        <v>495</v>
      </c>
      <c r="D2117" s="4" t="s">
        <v>42</v>
      </c>
      <c r="E2117" s="4" t="s">
        <v>55</v>
      </c>
      <c r="F2117" s="4" t="s">
        <v>494</v>
      </c>
      <c r="G2117" s="7" t="s">
        <v>3</v>
      </c>
      <c r="H2117" s="6" t="s">
        <v>3</v>
      </c>
      <c r="I2117" s="4" t="s">
        <v>86</v>
      </c>
      <c r="J2117" s="4" t="s">
        <v>20</v>
      </c>
      <c r="K2117" s="4" t="s">
        <v>49</v>
      </c>
    </row>
    <row r="2118" spans="1:11" ht="15.75" hidden="1" customHeight="1" x14ac:dyDescent="0.2">
      <c r="B2118" s="4" t="s">
        <v>8</v>
      </c>
      <c r="C2118" s="4" t="s">
        <v>493</v>
      </c>
      <c r="D2118" s="4" t="s">
        <v>236</v>
      </c>
      <c r="E2118" s="4" t="s">
        <v>17</v>
      </c>
      <c r="F2118" s="4" t="s">
        <v>492</v>
      </c>
      <c r="G2118" s="7" t="str">
        <f>HYPERLINK("https://www.facebook.com/groups/1667058386874380/permalink/2445558015691076/","Social media")</f>
        <v>Social media</v>
      </c>
      <c r="H2118" s="6" t="s">
        <v>11</v>
      </c>
      <c r="I2118" s="4" t="s">
        <v>10</v>
      </c>
      <c r="J2118" s="4" t="s">
        <v>15</v>
      </c>
      <c r="K2118" s="4" t="s">
        <v>0</v>
      </c>
    </row>
    <row r="2119" spans="1:11" ht="15.75" customHeight="1" x14ac:dyDescent="0.2">
      <c r="A2119" s="1">
        <v>218</v>
      </c>
      <c r="B2119" s="4" t="s">
        <v>8</v>
      </c>
      <c r="C2119" s="4" t="s">
        <v>491</v>
      </c>
      <c r="D2119" s="4" t="s">
        <v>18</v>
      </c>
      <c r="E2119" s="4" t="s">
        <v>23</v>
      </c>
      <c r="F2119" s="4" t="s">
        <v>490</v>
      </c>
      <c r="G2119" s="7" t="str">
        <f>HYPERLINK("https://www.downtoearth.org.in/news/wildlife-biodiversity/two-leopard-cubs-harassed-by-residents-in-maharashtra-tiger-reserve-one-dies-62741","News")</f>
        <v>News</v>
      </c>
      <c r="H2119" s="6" t="s">
        <v>3</v>
      </c>
      <c r="I2119" s="4" t="s">
        <v>86</v>
      </c>
      <c r="J2119" s="4" t="s">
        <v>20</v>
      </c>
      <c r="K2119" s="4" t="s">
        <v>45</v>
      </c>
    </row>
    <row r="2120" spans="1:11" ht="15.75" hidden="1" customHeight="1" x14ac:dyDescent="0.2">
      <c r="B2120" s="4" t="s">
        <v>8</v>
      </c>
      <c r="C2120" s="4" t="s">
        <v>150</v>
      </c>
      <c r="D2120" s="4" t="s">
        <v>150</v>
      </c>
      <c r="E2120" s="4" t="s">
        <v>23</v>
      </c>
      <c r="F2120" s="4" t="s">
        <v>489</v>
      </c>
      <c r="G2120" s="7" t="s">
        <v>11</v>
      </c>
      <c r="H2120" s="6" t="s">
        <v>11</v>
      </c>
      <c r="I2120" s="4" t="s">
        <v>10</v>
      </c>
      <c r="J2120" s="4" t="s">
        <v>15</v>
      </c>
      <c r="K2120" s="4" t="s">
        <v>0</v>
      </c>
    </row>
    <row r="2121" spans="1:11" ht="15.75" hidden="1" customHeight="1" x14ac:dyDescent="0.2">
      <c r="B2121" s="4" t="s">
        <v>8</v>
      </c>
      <c r="C2121" s="4" t="s">
        <v>228</v>
      </c>
      <c r="D2121" s="4" t="s">
        <v>36</v>
      </c>
      <c r="E2121" s="4" t="s">
        <v>159</v>
      </c>
      <c r="F2121" s="4" t="s">
        <v>488</v>
      </c>
      <c r="G2121" s="4" t="s">
        <v>289</v>
      </c>
      <c r="H2121" s="6" t="s">
        <v>272</v>
      </c>
      <c r="I2121" s="4" t="s">
        <v>21</v>
      </c>
      <c r="J2121" s="4" t="s">
        <v>50</v>
      </c>
      <c r="K2121" s="4" t="s">
        <v>288</v>
      </c>
    </row>
    <row r="2122" spans="1:11" ht="15.75" hidden="1" customHeight="1" x14ac:dyDescent="0.2">
      <c r="B2122" s="4" t="s">
        <v>8</v>
      </c>
      <c r="C2122" s="4" t="s">
        <v>150</v>
      </c>
      <c r="D2122" s="4" t="s">
        <v>150</v>
      </c>
      <c r="E2122" s="4" t="s">
        <v>159</v>
      </c>
      <c r="F2122" s="4" t="s">
        <v>487</v>
      </c>
      <c r="G2122" s="4" t="s">
        <v>11</v>
      </c>
      <c r="H2122" s="6" t="s">
        <v>11</v>
      </c>
      <c r="I2122" s="4" t="s">
        <v>10</v>
      </c>
      <c r="J2122" s="4" t="s">
        <v>9</v>
      </c>
      <c r="K2122" s="4" t="s">
        <v>0</v>
      </c>
    </row>
    <row r="2123" spans="1:11" ht="15.75" customHeight="1" x14ac:dyDescent="0.2">
      <c r="A2123" s="1">
        <v>219</v>
      </c>
      <c r="B2123" s="4" t="s">
        <v>8</v>
      </c>
      <c r="C2123" s="4" t="s">
        <v>243</v>
      </c>
      <c r="D2123" s="4" t="s">
        <v>62</v>
      </c>
      <c r="E2123" s="4" t="s">
        <v>23</v>
      </c>
      <c r="F2123" s="4" t="s">
        <v>486</v>
      </c>
      <c r="G2123" s="7" t="s">
        <v>3</v>
      </c>
      <c r="H2123" s="6" t="s">
        <v>3</v>
      </c>
      <c r="I2123" s="4" t="s">
        <v>86</v>
      </c>
      <c r="J2123" s="4" t="s">
        <v>20</v>
      </c>
      <c r="K2123" s="4" t="s">
        <v>45</v>
      </c>
    </row>
    <row r="2124" spans="1:11" ht="15.75" hidden="1" customHeight="1" x14ac:dyDescent="0.2">
      <c r="B2124" s="4" t="s">
        <v>8</v>
      </c>
      <c r="C2124" s="4" t="s">
        <v>485</v>
      </c>
      <c r="D2124" s="4" t="s">
        <v>97</v>
      </c>
      <c r="E2124" s="4" t="s">
        <v>159</v>
      </c>
      <c r="F2124" s="4" t="s">
        <v>484</v>
      </c>
      <c r="G2124" s="7" t="s">
        <v>11</v>
      </c>
      <c r="H2124" s="6" t="s">
        <v>11</v>
      </c>
      <c r="I2124" s="4" t="s">
        <v>144</v>
      </c>
      <c r="J2124" s="4" t="s">
        <v>196</v>
      </c>
      <c r="K2124" s="4" t="s">
        <v>57</v>
      </c>
    </row>
    <row r="2125" spans="1:11" ht="15.75" hidden="1" customHeight="1" x14ac:dyDescent="0.2">
      <c r="B2125" s="4" t="s">
        <v>8</v>
      </c>
      <c r="C2125" s="4" t="s">
        <v>228</v>
      </c>
      <c r="D2125" s="4" t="s">
        <v>36</v>
      </c>
      <c r="E2125" s="4" t="s">
        <v>17</v>
      </c>
      <c r="F2125" s="4" t="s">
        <v>483</v>
      </c>
      <c r="G2125" s="4" t="s">
        <v>289</v>
      </c>
      <c r="H2125" s="6" t="s">
        <v>272</v>
      </c>
      <c r="I2125" s="4" t="s">
        <v>281</v>
      </c>
      <c r="J2125" s="4" t="s">
        <v>50</v>
      </c>
      <c r="K2125" s="4" t="s">
        <v>482</v>
      </c>
    </row>
    <row r="2126" spans="1:11" ht="15.75" hidden="1" customHeight="1" x14ac:dyDescent="0.2">
      <c r="B2126" s="4" t="s">
        <v>8</v>
      </c>
      <c r="C2126" s="4" t="s">
        <v>111</v>
      </c>
      <c r="D2126" s="4" t="s">
        <v>24</v>
      </c>
      <c r="E2126" s="4" t="s">
        <v>5</v>
      </c>
      <c r="F2126" s="4" t="s">
        <v>481</v>
      </c>
      <c r="G2126" s="7" t="s">
        <v>11</v>
      </c>
      <c r="H2126" s="6" t="s">
        <v>11</v>
      </c>
      <c r="I2126" s="4" t="s">
        <v>10</v>
      </c>
      <c r="J2126" s="4" t="s">
        <v>20</v>
      </c>
      <c r="K2126" s="4" t="s">
        <v>0</v>
      </c>
    </row>
    <row r="2127" spans="1:11" ht="15.75" hidden="1" customHeight="1" x14ac:dyDescent="0.2">
      <c r="B2127" s="4" t="s">
        <v>8</v>
      </c>
      <c r="C2127" s="4" t="s">
        <v>299</v>
      </c>
      <c r="D2127" s="4" t="s">
        <v>28</v>
      </c>
      <c r="E2127" s="4" t="s">
        <v>17</v>
      </c>
      <c r="F2127" s="4" t="s">
        <v>480</v>
      </c>
      <c r="G2127" s="7" t="s">
        <v>11</v>
      </c>
      <c r="H2127" s="6" t="s">
        <v>11</v>
      </c>
      <c r="I2127" s="4" t="s">
        <v>10</v>
      </c>
      <c r="J2127" s="4" t="s">
        <v>15</v>
      </c>
      <c r="K2127" s="4" t="s">
        <v>0</v>
      </c>
    </row>
    <row r="2128" spans="1:11" ht="15.75" customHeight="1" x14ac:dyDescent="0.2">
      <c r="A2128" s="1">
        <v>220</v>
      </c>
      <c r="B2128" s="4" t="s">
        <v>8</v>
      </c>
      <c r="C2128" s="4" t="s">
        <v>104</v>
      </c>
      <c r="D2128" s="4" t="s">
        <v>18</v>
      </c>
      <c r="E2128" s="4" t="s">
        <v>81</v>
      </c>
      <c r="F2128" s="4" t="s">
        <v>479</v>
      </c>
      <c r="G2128" s="7" t="str">
        <f>HYPERLINK("https://indianexpress.com/article/cities/mumbai/mumbai-man-held-for-sexually-assaulting-Street-dog-5928628/","News")</f>
        <v>News</v>
      </c>
      <c r="H2128" s="6" t="s">
        <v>3</v>
      </c>
      <c r="I2128" s="4" t="s">
        <v>10</v>
      </c>
      <c r="J2128" s="4" t="s">
        <v>82</v>
      </c>
      <c r="K2128" s="4" t="s">
        <v>0</v>
      </c>
    </row>
    <row r="2129" spans="1:11" ht="15.75" customHeight="1" x14ac:dyDescent="0.2">
      <c r="A2129" s="1">
        <v>221</v>
      </c>
      <c r="B2129" s="4" t="s">
        <v>8</v>
      </c>
      <c r="C2129" s="4" t="s">
        <v>104</v>
      </c>
      <c r="D2129" s="4" t="s">
        <v>18</v>
      </c>
      <c r="E2129" s="4" t="s">
        <v>23</v>
      </c>
      <c r="F2129" s="4" t="s">
        <v>478</v>
      </c>
      <c r="G2129" s="7" t="str">
        <f>HYPERLINK("https://www.facebook.com/pg/VOVHYD/posts/?ref=page_internal","News")</f>
        <v>News</v>
      </c>
      <c r="H2129" s="6" t="s">
        <v>3</v>
      </c>
      <c r="I2129" s="4" t="s">
        <v>10</v>
      </c>
      <c r="J2129" s="4" t="s">
        <v>82</v>
      </c>
      <c r="K2129" s="4" t="s">
        <v>0</v>
      </c>
    </row>
    <row r="2130" spans="1:11" ht="15.75" hidden="1" customHeight="1" x14ac:dyDescent="0.2">
      <c r="B2130" s="4" t="s">
        <v>8</v>
      </c>
      <c r="C2130" s="4" t="s">
        <v>358</v>
      </c>
      <c r="D2130" s="4" t="s">
        <v>42</v>
      </c>
      <c r="E2130" s="4" t="s">
        <v>55</v>
      </c>
      <c r="F2130" s="4" t="s">
        <v>477</v>
      </c>
      <c r="G2130" s="7" t="s">
        <v>11</v>
      </c>
      <c r="H2130" s="6" t="s">
        <v>11</v>
      </c>
      <c r="I2130" s="4" t="s">
        <v>197</v>
      </c>
      <c r="J2130" s="4" t="s">
        <v>371</v>
      </c>
      <c r="K2130" s="4" t="s">
        <v>432</v>
      </c>
    </row>
    <row r="2131" spans="1:11" ht="15.75" hidden="1" customHeight="1" x14ac:dyDescent="0.2">
      <c r="B2131" s="4" t="s">
        <v>8</v>
      </c>
      <c r="C2131" s="4" t="s">
        <v>89</v>
      </c>
      <c r="D2131" s="4" t="s">
        <v>88</v>
      </c>
      <c r="E2131" s="4" t="s">
        <v>17</v>
      </c>
      <c r="F2131" s="4" t="s">
        <v>476</v>
      </c>
      <c r="G2131" s="7" t="s">
        <v>11</v>
      </c>
      <c r="H2131" s="6" t="s">
        <v>11</v>
      </c>
      <c r="I2131" s="4" t="s">
        <v>10</v>
      </c>
      <c r="J2131" s="4" t="s">
        <v>15</v>
      </c>
      <c r="K2131" s="4" t="s">
        <v>0</v>
      </c>
    </row>
    <row r="2132" spans="1:11" ht="15.75" hidden="1" customHeight="1" x14ac:dyDescent="0.2">
      <c r="B2132" s="4" t="s">
        <v>8</v>
      </c>
      <c r="C2132" s="4" t="s">
        <v>228</v>
      </c>
      <c r="D2132" s="4" t="s">
        <v>36</v>
      </c>
      <c r="E2132" s="4" t="s">
        <v>159</v>
      </c>
      <c r="F2132" s="4" t="s">
        <v>475</v>
      </c>
      <c r="G2132" s="4" t="s">
        <v>289</v>
      </c>
      <c r="H2132" s="6" t="s">
        <v>272</v>
      </c>
      <c r="I2132" s="4" t="s">
        <v>21</v>
      </c>
      <c r="J2132" s="4" t="s">
        <v>50</v>
      </c>
      <c r="K2132" s="4" t="s">
        <v>288</v>
      </c>
    </row>
    <row r="2133" spans="1:11" ht="15.75" customHeight="1" x14ac:dyDescent="0.2">
      <c r="A2133" s="1">
        <v>222</v>
      </c>
      <c r="B2133" s="4" t="s">
        <v>8</v>
      </c>
      <c r="C2133" s="4" t="s">
        <v>104</v>
      </c>
      <c r="D2133" s="4" t="s">
        <v>18</v>
      </c>
      <c r="E2133" s="4" t="s">
        <v>23</v>
      </c>
      <c r="F2133" s="4" t="s">
        <v>474</v>
      </c>
      <c r="G2133" s="7" t="s">
        <v>3</v>
      </c>
      <c r="H2133" s="6" t="s">
        <v>3</v>
      </c>
      <c r="I2133" s="4" t="s">
        <v>10</v>
      </c>
      <c r="J2133" s="4" t="s">
        <v>20</v>
      </c>
      <c r="K2133" s="4" t="s">
        <v>0</v>
      </c>
    </row>
    <row r="2134" spans="1:11" ht="15.75" customHeight="1" x14ac:dyDescent="0.2">
      <c r="A2134" s="1">
        <v>223</v>
      </c>
      <c r="B2134" s="4" t="s">
        <v>8</v>
      </c>
      <c r="C2134" s="4" t="s">
        <v>473</v>
      </c>
      <c r="D2134" s="4" t="s">
        <v>232</v>
      </c>
      <c r="E2134" s="4" t="s">
        <v>23</v>
      </c>
      <c r="F2134" s="4" t="s">
        <v>472</v>
      </c>
      <c r="G2134" s="7" t="s">
        <v>3</v>
      </c>
      <c r="H2134" s="6" t="s">
        <v>3</v>
      </c>
      <c r="I2134" s="4" t="s">
        <v>197</v>
      </c>
      <c r="J2134" s="4" t="s">
        <v>471</v>
      </c>
      <c r="K2134" s="4" t="s">
        <v>57</v>
      </c>
    </row>
    <row r="2135" spans="1:11" ht="15.75" hidden="1" customHeight="1" x14ac:dyDescent="0.2">
      <c r="B2135" s="4" t="s">
        <v>8</v>
      </c>
      <c r="C2135" s="4" t="s">
        <v>48</v>
      </c>
      <c r="D2135" s="4" t="s">
        <v>47</v>
      </c>
      <c r="E2135" s="4" t="s">
        <v>17</v>
      </c>
      <c r="F2135" s="4" t="s">
        <v>470</v>
      </c>
      <c r="G2135" s="7" t="s">
        <v>11</v>
      </c>
      <c r="H2135" s="6" t="s">
        <v>11</v>
      </c>
      <c r="I2135" s="4" t="s">
        <v>10</v>
      </c>
      <c r="J2135" s="4" t="s">
        <v>15</v>
      </c>
      <c r="K2135" s="4" t="s">
        <v>0</v>
      </c>
    </row>
    <row r="2136" spans="1:11" ht="15.75" hidden="1" customHeight="1" x14ac:dyDescent="0.2">
      <c r="B2136" s="4" t="s">
        <v>8</v>
      </c>
      <c r="C2136" s="4" t="s">
        <v>469</v>
      </c>
      <c r="D2136" s="4" t="s">
        <v>94</v>
      </c>
      <c r="E2136" s="4" t="s">
        <v>17</v>
      </c>
      <c r="F2136" s="4" t="s">
        <v>468</v>
      </c>
      <c r="G2136" s="7" t="s">
        <v>11</v>
      </c>
      <c r="H2136" s="6" t="s">
        <v>11</v>
      </c>
      <c r="I2136" s="4" t="s">
        <v>10</v>
      </c>
      <c r="J2136" s="4" t="s">
        <v>15</v>
      </c>
      <c r="K2136" s="4" t="s">
        <v>0</v>
      </c>
    </row>
    <row r="2137" spans="1:11" ht="15.75" customHeight="1" x14ac:dyDescent="0.2">
      <c r="A2137" s="1">
        <v>224</v>
      </c>
      <c r="B2137" s="4" t="s">
        <v>8</v>
      </c>
      <c r="C2137" s="4" t="s">
        <v>467</v>
      </c>
      <c r="D2137" s="4" t="s">
        <v>97</v>
      </c>
      <c r="E2137" s="4" t="s">
        <v>159</v>
      </c>
      <c r="F2137" s="4" t="s">
        <v>466</v>
      </c>
      <c r="G2137" s="7" t="str">
        <f>HYPERLINK("https://www.dailypioneer.com/2019/state-editions/hundreds-of-animals-sacrificed-at-sulia-yatra.html","News")</f>
        <v>News</v>
      </c>
      <c r="H2137" s="6" t="s">
        <v>3</v>
      </c>
      <c r="I2137" s="4" t="s">
        <v>197</v>
      </c>
      <c r="J2137" s="4" t="s">
        <v>157</v>
      </c>
      <c r="K2137" s="4" t="s">
        <v>432</v>
      </c>
    </row>
    <row r="2138" spans="1:11" ht="15.75" hidden="1" customHeight="1" x14ac:dyDescent="0.2">
      <c r="B2138" s="4" t="s">
        <v>8</v>
      </c>
      <c r="C2138" s="4" t="s">
        <v>233</v>
      </c>
      <c r="D2138" s="4" t="s">
        <v>232</v>
      </c>
      <c r="E2138" s="4" t="s">
        <v>17</v>
      </c>
      <c r="F2138" s="4" t="s">
        <v>465</v>
      </c>
      <c r="G2138" s="7" t="s">
        <v>11</v>
      </c>
      <c r="H2138" s="6" t="s">
        <v>11</v>
      </c>
      <c r="I2138" s="4" t="s">
        <v>10</v>
      </c>
      <c r="J2138" s="4" t="s">
        <v>15</v>
      </c>
      <c r="K2138" s="4" t="s">
        <v>34</v>
      </c>
    </row>
    <row r="2139" spans="1:11" ht="15.75" customHeight="1" x14ac:dyDescent="0.2">
      <c r="A2139" s="1">
        <v>225</v>
      </c>
      <c r="B2139" s="4" t="s">
        <v>8</v>
      </c>
      <c r="C2139" s="4" t="s">
        <v>111</v>
      </c>
      <c r="D2139" s="4" t="s">
        <v>24</v>
      </c>
      <c r="E2139" s="4" t="s">
        <v>17</v>
      </c>
      <c r="F2139" s="4" t="s">
        <v>464</v>
      </c>
      <c r="G2139" s="7" t="str">
        <f>HYPERLINK("https://timesofindia.indiatimes.com/city/hyderabad/activists-suspect-drug-overdose-after-rescued-dog-dies-at-kennel/articleshow/67461411.cms","News")</f>
        <v>News</v>
      </c>
      <c r="H2139" s="6" t="s">
        <v>3</v>
      </c>
      <c r="I2139" s="4" t="s">
        <v>10</v>
      </c>
      <c r="J2139" s="4" t="s">
        <v>15</v>
      </c>
      <c r="K2139" s="4" t="s">
        <v>0</v>
      </c>
    </row>
    <row r="2140" spans="1:11" ht="15.75" hidden="1" customHeight="1" x14ac:dyDescent="0.2">
      <c r="B2140" s="4" t="s">
        <v>8</v>
      </c>
      <c r="C2140" s="4"/>
      <c r="D2140" s="4" t="s">
        <v>236</v>
      </c>
      <c r="E2140" s="4" t="s">
        <v>23</v>
      </c>
      <c r="F2140" s="4" t="s">
        <v>463</v>
      </c>
      <c r="G2140" s="7" t="str">
        <f>HYPERLINK("https://www.facebook.com/groups/goapetlife/permalink/1970950176338268/","Social media")</f>
        <v>Social media</v>
      </c>
      <c r="H2140" s="6" t="s">
        <v>11</v>
      </c>
      <c r="I2140" s="4" t="s">
        <v>10</v>
      </c>
      <c r="J2140" s="4" t="s">
        <v>15</v>
      </c>
      <c r="K2140" s="4" t="s">
        <v>0</v>
      </c>
    </row>
    <row r="2141" spans="1:11" ht="15.75" hidden="1" customHeight="1" x14ac:dyDescent="0.2">
      <c r="B2141" s="4" t="s">
        <v>8</v>
      </c>
      <c r="C2141" s="4" t="s">
        <v>311</v>
      </c>
      <c r="D2141" s="4" t="s">
        <v>236</v>
      </c>
      <c r="E2141" s="4" t="s">
        <v>17</v>
      </c>
      <c r="F2141" s="4" t="s">
        <v>462</v>
      </c>
      <c r="G2141" s="7" t="str">
        <f>HYPERLINK("https://www.facebook.com/groups/goapetlife/permalink/1970643899702229/","Social media")</f>
        <v>Social media</v>
      </c>
      <c r="H2141" s="6" t="s">
        <v>11</v>
      </c>
      <c r="I2141" s="4" t="s">
        <v>2</v>
      </c>
      <c r="J2141" s="4" t="s">
        <v>15</v>
      </c>
      <c r="K2141" s="4" t="s">
        <v>0</v>
      </c>
    </row>
    <row r="2142" spans="1:11" ht="15.75" customHeight="1" x14ac:dyDescent="0.2">
      <c r="A2142" s="1">
        <v>226</v>
      </c>
      <c r="B2142" s="4" t="s">
        <v>8</v>
      </c>
      <c r="C2142" s="4" t="s">
        <v>89</v>
      </c>
      <c r="D2142" s="4" t="s">
        <v>88</v>
      </c>
      <c r="E2142" s="4" t="s">
        <v>17</v>
      </c>
      <c r="F2142" s="4" t="s">
        <v>461</v>
      </c>
      <c r="G2142" s="7" t="str">
        <f>HYPERLINK("https://www.timesnownews.com/mirror-now/crime/article/kolkata-Street-dog-dies-after-acid-attack-in-dum-dum-locals-to-stage-protest/481016","News")</f>
        <v>News</v>
      </c>
      <c r="H2142" s="6" t="s">
        <v>3</v>
      </c>
      <c r="I2142" s="4" t="s">
        <v>10</v>
      </c>
      <c r="J2142" s="4" t="s">
        <v>20</v>
      </c>
      <c r="K2142" s="4" t="s">
        <v>0</v>
      </c>
    </row>
    <row r="2143" spans="1:11" ht="15.75" customHeight="1" x14ac:dyDescent="0.2">
      <c r="A2143" s="1">
        <v>227</v>
      </c>
      <c r="B2143" s="4" t="s">
        <v>8</v>
      </c>
      <c r="C2143" s="4" t="s">
        <v>460</v>
      </c>
      <c r="D2143" s="4" t="s">
        <v>13</v>
      </c>
      <c r="E2143" s="4" t="s">
        <v>23</v>
      </c>
      <c r="F2143" s="4" t="s">
        <v>459</v>
      </c>
      <c r="G2143" s="7" t="str">
        <f>HYPERLINK("https://www.newindianexpress.com/nation/2019/sep/08/fir-filed-after-nilgai-buried-alive-in-bihar-2030478.html","News")</f>
        <v>News</v>
      </c>
      <c r="H2143" s="6" t="s">
        <v>3</v>
      </c>
      <c r="I2143" s="4" t="s">
        <v>86</v>
      </c>
      <c r="J2143" s="4" t="s">
        <v>20</v>
      </c>
      <c r="K2143" s="4" t="s">
        <v>217</v>
      </c>
    </row>
    <row r="2144" spans="1:11" ht="15.75" hidden="1" customHeight="1" x14ac:dyDescent="0.2">
      <c r="B2144" s="4" t="s">
        <v>8</v>
      </c>
      <c r="C2144" s="4" t="s">
        <v>458</v>
      </c>
      <c r="D2144" s="4" t="s">
        <v>18</v>
      </c>
      <c r="E2144" s="4" t="s">
        <v>17</v>
      </c>
      <c r="F2144" s="4" t="s">
        <v>457</v>
      </c>
      <c r="G2144" s="7" t="s">
        <v>11</v>
      </c>
      <c r="H2144" s="6" t="s">
        <v>11</v>
      </c>
      <c r="I2144" s="4" t="s">
        <v>10</v>
      </c>
      <c r="J2144" s="4" t="s">
        <v>15</v>
      </c>
      <c r="K2144" s="4" t="s">
        <v>0</v>
      </c>
    </row>
    <row r="2145" spans="1:11" ht="15.75" customHeight="1" x14ac:dyDescent="0.2">
      <c r="A2145" s="1">
        <v>228</v>
      </c>
      <c r="B2145" s="4" t="s">
        <v>8</v>
      </c>
      <c r="C2145" s="4" t="s">
        <v>89</v>
      </c>
      <c r="D2145" s="4" t="s">
        <v>88</v>
      </c>
      <c r="E2145" s="4" t="s">
        <v>23</v>
      </c>
      <c r="F2145" s="4" t="s">
        <v>456</v>
      </c>
      <c r="G2145" s="7" t="s">
        <v>3</v>
      </c>
      <c r="H2145" s="6" t="s">
        <v>3</v>
      </c>
      <c r="I2145" s="4" t="s">
        <v>10</v>
      </c>
      <c r="J2145" s="4" t="s">
        <v>20</v>
      </c>
      <c r="K2145" s="4" t="s">
        <v>0</v>
      </c>
    </row>
    <row r="2146" spans="1:11" ht="15.75" hidden="1" customHeight="1" x14ac:dyDescent="0.2">
      <c r="B2146" s="4" t="s">
        <v>8</v>
      </c>
      <c r="C2146" s="4" t="s">
        <v>89</v>
      </c>
      <c r="D2146" s="4" t="s">
        <v>88</v>
      </c>
      <c r="E2146" s="4" t="s">
        <v>23</v>
      </c>
      <c r="F2146" s="4" t="s">
        <v>455</v>
      </c>
      <c r="G2146" s="7" t="s">
        <v>11</v>
      </c>
      <c r="H2146" s="6" t="s">
        <v>11</v>
      </c>
      <c r="I2146" s="4" t="s">
        <v>10</v>
      </c>
      <c r="J2146" s="4" t="s">
        <v>15</v>
      </c>
      <c r="K2146" s="4" t="s">
        <v>0</v>
      </c>
    </row>
    <row r="2147" spans="1:11" ht="15.75" hidden="1" customHeight="1" x14ac:dyDescent="0.2">
      <c r="B2147" s="4" t="s">
        <v>8</v>
      </c>
      <c r="C2147" s="4" t="s">
        <v>454</v>
      </c>
      <c r="D2147" s="4" t="s">
        <v>236</v>
      </c>
      <c r="E2147" s="4" t="s">
        <v>17</v>
      </c>
      <c r="F2147" s="4" t="s">
        <v>453</v>
      </c>
      <c r="G2147" s="7" t="str">
        <f>HYPERLINK("https://www.facebook.com/groups/goapetlife/permalink/1974551579311461/","Social media")</f>
        <v>Social media</v>
      </c>
      <c r="H2147" s="6" t="s">
        <v>11</v>
      </c>
      <c r="I2147" s="4" t="s">
        <v>10</v>
      </c>
      <c r="J2147" s="4" t="s">
        <v>15</v>
      </c>
      <c r="K2147" s="4" t="s">
        <v>0</v>
      </c>
    </row>
    <row r="2148" spans="1:11" ht="15.75" hidden="1" customHeight="1" x14ac:dyDescent="0.2">
      <c r="B2148" s="4" t="s">
        <v>8</v>
      </c>
      <c r="C2148" s="4" t="s">
        <v>358</v>
      </c>
      <c r="D2148" s="4" t="s">
        <v>42</v>
      </c>
      <c r="E2148" s="4" t="s">
        <v>5</v>
      </c>
      <c r="F2148" s="4" t="s">
        <v>452</v>
      </c>
      <c r="G2148" s="7" t="s">
        <v>11</v>
      </c>
      <c r="H2148" s="6" t="s">
        <v>11</v>
      </c>
      <c r="I2148" s="4" t="s">
        <v>10</v>
      </c>
      <c r="J2148" s="4" t="s">
        <v>15</v>
      </c>
      <c r="K2148" s="4" t="s">
        <v>0</v>
      </c>
    </row>
    <row r="2149" spans="1:11" ht="15.75" customHeight="1" x14ac:dyDescent="0.2">
      <c r="A2149" s="1">
        <v>229</v>
      </c>
      <c r="B2149" s="4" t="s">
        <v>8</v>
      </c>
      <c r="C2149" s="4" t="s">
        <v>451</v>
      </c>
      <c r="D2149" s="4" t="s">
        <v>42</v>
      </c>
      <c r="E2149" s="4" t="s">
        <v>27</v>
      </c>
      <c r="F2149" s="4" t="s">
        <v>450</v>
      </c>
      <c r="G2149" s="7" t="str">
        <f>HYPERLINK("https://www.timesnownews.com/mirror-now/crime/article/three-men-take-turn-to-rape-dog-in-ups-hathras-booked-for-cruelty/450897?fbclid=IwAR0D_EmmRQIUpsz3SlSOTcuUoe1Ig0WsQuLhLmQK1-O-Bfwc93LNQxSNliA","News")</f>
        <v>News</v>
      </c>
      <c r="H2149" s="6" t="s">
        <v>3</v>
      </c>
      <c r="I2149" s="4" t="s">
        <v>10</v>
      </c>
      <c r="J2149" s="4" t="s">
        <v>82</v>
      </c>
      <c r="K2149" s="4" t="s">
        <v>0</v>
      </c>
    </row>
    <row r="2150" spans="1:11" ht="15.75" hidden="1" customHeight="1" x14ac:dyDescent="0.2">
      <c r="B2150" s="4" t="s">
        <v>8</v>
      </c>
      <c r="C2150" s="4" t="s">
        <v>449</v>
      </c>
      <c r="D2150" s="4" t="s">
        <v>24</v>
      </c>
      <c r="E2150" s="4" t="s">
        <v>27</v>
      </c>
      <c r="F2150" s="4" t="s">
        <v>448</v>
      </c>
      <c r="G2150" s="4" t="s">
        <v>447</v>
      </c>
      <c r="H2150" s="6" t="s">
        <v>272</v>
      </c>
      <c r="I2150" s="4" t="s">
        <v>10</v>
      </c>
      <c r="J2150" s="4" t="s">
        <v>20</v>
      </c>
      <c r="K2150" s="4" t="s">
        <v>446</v>
      </c>
    </row>
    <row r="2151" spans="1:11" ht="15.75" hidden="1" customHeight="1" x14ac:dyDescent="0.2">
      <c r="B2151" s="4" t="s">
        <v>8</v>
      </c>
      <c r="C2151" s="4" t="s">
        <v>228</v>
      </c>
      <c r="D2151" s="4" t="s">
        <v>36</v>
      </c>
      <c r="E2151" s="4" t="s">
        <v>17</v>
      </c>
      <c r="F2151" s="4" t="s">
        <v>445</v>
      </c>
      <c r="G2151" s="4" t="s">
        <v>289</v>
      </c>
      <c r="H2151" s="6" t="s">
        <v>272</v>
      </c>
      <c r="I2151" s="4" t="s">
        <v>428</v>
      </c>
      <c r="J2151" s="4" t="s">
        <v>50</v>
      </c>
      <c r="K2151" s="4" t="s">
        <v>279</v>
      </c>
    </row>
    <row r="2152" spans="1:11" ht="15.75" customHeight="1" x14ac:dyDescent="0.2">
      <c r="A2152" s="1">
        <v>230</v>
      </c>
      <c r="B2152" s="4" t="s">
        <v>8</v>
      </c>
      <c r="C2152" s="4" t="s">
        <v>89</v>
      </c>
      <c r="D2152" s="4" t="s">
        <v>88</v>
      </c>
      <c r="E2152" s="4" t="s">
        <v>23</v>
      </c>
      <c r="F2152" s="4" t="s">
        <v>444</v>
      </c>
      <c r="G2152" s="7" t="s">
        <v>3</v>
      </c>
      <c r="H2152" s="6" t="s">
        <v>3</v>
      </c>
      <c r="I2152" s="4" t="s">
        <v>86</v>
      </c>
      <c r="J2152" s="4" t="s">
        <v>304</v>
      </c>
      <c r="K2152" s="4" t="s">
        <v>443</v>
      </c>
    </row>
    <row r="2153" spans="1:11" ht="15.75" hidden="1" customHeight="1" x14ac:dyDescent="0.2">
      <c r="B2153" s="4" t="s">
        <v>8</v>
      </c>
      <c r="C2153" s="4" t="s">
        <v>442</v>
      </c>
      <c r="D2153" s="4" t="s">
        <v>18</v>
      </c>
      <c r="E2153" s="4" t="s">
        <v>17</v>
      </c>
      <c r="F2153" s="4" t="s">
        <v>441</v>
      </c>
      <c r="G2153" s="7" t="s">
        <v>11</v>
      </c>
      <c r="H2153" s="6" t="s">
        <v>11</v>
      </c>
      <c r="I2153" s="4" t="s">
        <v>2</v>
      </c>
      <c r="J2153" s="4" t="s">
        <v>20</v>
      </c>
      <c r="K2153" s="4" t="s">
        <v>75</v>
      </c>
    </row>
    <row r="2154" spans="1:11" ht="15.75" hidden="1" customHeight="1" x14ac:dyDescent="0.2">
      <c r="B2154" s="4" t="s">
        <v>8</v>
      </c>
      <c r="C2154" s="4"/>
      <c r="D2154" s="4" t="s">
        <v>236</v>
      </c>
      <c r="E2154" s="4" t="s">
        <v>17</v>
      </c>
      <c r="F2154" s="4" t="s">
        <v>440</v>
      </c>
      <c r="G2154" s="7" t="str">
        <f>HYPERLINK("https://www.facebook.com/wag.india/photos/a.112347678948296/1245701532279566/?type=3&amp;theater","Social media")</f>
        <v>Social media</v>
      </c>
      <c r="H2154" s="6" t="s">
        <v>11</v>
      </c>
      <c r="I2154" s="4" t="s">
        <v>10</v>
      </c>
      <c r="J2154" s="4" t="s">
        <v>15</v>
      </c>
      <c r="K2154" s="4" t="s">
        <v>75</v>
      </c>
    </row>
    <row r="2155" spans="1:11" ht="15.75" hidden="1" customHeight="1" x14ac:dyDescent="0.2">
      <c r="B2155" s="4" t="s">
        <v>8</v>
      </c>
      <c r="C2155" s="4" t="s">
        <v>91</v>
      </c>
      <c r="D2155" s="4" t="s">
        <v>42</v>
      </c>
      <c r="E2155" s="4" t="s">
        <v>23</v>
      </c>
      <c r="F2155" s="4" t="s">
        <v>439</v>
      </c>
      <c r="G2155" s="7" t="s">
        <v>11</v>
      </c>
      <c r="H2155" s="6" t="s">
        <v>11</v>
      </c>
      <c r="I2155" s="4" t="s">
        <v>10</v>
      </c>
      <c r="J2155" s="4" t="s">
        <v>20</v>
      </c>
      <c r="K2155" s="4" t="s">
        <v>0</v>
      </c>
    </row>
    <row r="2156" spans="1:11" ht="15.75" hidden="1" customHeight="1" x14ac:dyDescent="0.2">
      <c r="B2156" s="4" t="s">
        <v>8</v>
      </c>
      <c r="C2156" s="4" t="s">
        <v>228</v>
      </c>
      <c r="D2156" s="4" t="s">
        <v>36</v>
      </c>
      <c r="E2156" s="4" t="s">
        <v>17</v>
      </c>
      <c r="F2156" s="4" t="s">
        <v>438</v>
      </c>
      <c r="G2156" s="4" t="s">
        <v>329</v>
      </c>
      <c r="H2156" s="6" t="s">
        <v>272</v>
      </c>
      <c r="I2156" s="4" t="s">
        <v>10</v>
      </c>
      <c r="J2156" s="4" t="s">
        <v>15</v>
      </c>
      <c r="K2156" s="4" t="s">
        <v>0</v>
      </c>
    </row>
    <row r="2157" spans="1:11" ht="15.75" hidden="1" customHeight="1" x14ac:dyDescent="0.2">
      <c r="B2157" s="4" t="s">
        <v>8</v>
      </c>
      <c r="C2157" s="4" t="s">
        <v>150</v>
      </c>
      <c r="D2157" s="4" t="s">
        <v>150</v>
      </c>
      <c r="E2157" s="4" t="s">
        <v>5</v>
      </c>
      <c r="F2157" s="4" t="s">
        <v>437</v>
      </c>
      <c r="G2157" s="7" t="s">
        <v>11</v>
      </c>
      <c r="H2157" s="6" t="s">
        <v>11</v>
      </c>
      <c r="I2157" s="4" t="s">
        <v>10</v>
      </c>
      <c r="J2157" s="4" t="s">
        <v>15</v>
      </c>
      <c r="K2157" s="4" t="s">
        <v>0</v>
      </c>
    </row>
    <row r="2158" spans="1:11" ht="15.75" hidden="1" customHeight="1" x14ac:dyDescent="0.2">
      <c r="B2158" s="4" t="s">
        <v>8</v>
      </c>
      <c r="C2158" s="4" t="s">
        <v>271</v>
      </c>
      <c r="D2158" s="4" t="s">
        <v>94</v>
      </c>
      <c r="E2158" s="4" t="s">
        <v>5</v>
      </c>
      <c r="F2158" s="4" t="s">
        <v>436</v>
      </c>
      <c r="G2158" s="4" t="s">
        <v>272</v>
      </c>
      <c r="H2158" s="6">
        <v>19</v>
      </c>
      <c r="I2158" s="4" t="s">
        <v>10</v>
      </c>
      <c r="J2158" s="4" t="s">
        <v>20</v>
      </c>
      <c r="K2158" s="4" t="s">
        <v>0</v>
      </c>
    </row>
    <row r="2159" spans="1:11" ht="15.75" hidden="1" customHeight="1" x14ac:dyDescent="0.2">
      <c r="B2159" s="4" t="s">
        <v>8</v>
      </c>
      <c r="C2159" s="4"/>
      <c r="D2159" s="4" t="s">
        <v>236</v>
      </c>
      <c r="E2159" s="4" t="s">
        <v>159</v>
      </c>
      <c r="F2159" s="4" t="s">
        <v>434</v>
      </c>
      <c r="G2159" s="4" t="s">
        <v>289</v>
      </c>
      <c r="H2159" s="6" t="s">
        <v>272</v>
      </c>
      <c r="I2159" s="4" t="s">
        <v>428</v>
      </c>
      <c r="J2159" s="4" t="s">
        <v>50</v>
      </c>
      <c r="K2159" s="4" t="s">
        <v>280</v>
      </c>
    </row>
    <row r="2160" spans="1:11" ht="15.75" hidden="1" customHeight="1" x14ac:dyDescent="0.2">
      <c r="B2160" s="4" t="s">
        <v>8</v>
      </c>
      <c r="C2160" s="4" t="s">
        <v>150</v>
      </c>
      <c r="D2160" s="4" t="s">
        <v>150</v>
      </c>
      <c r="E2160" s="4" t="s">
        <v>55</v>
      </c>
      <c r="F2160" s="4" t="s">
        <v>433</v>
      </c>
      <c r="G2160" s="7" t="s">
        <v>11</v>
      </c>
      <c r="H2160" s="6" t="s">
        <v>11</v>
      </c>
      <c r="I2160" s="4" t="s">
        <v>197</v>
      </c>
      <c r="J2160" s="4" t="s">
        <v>1</v>
      </c>
      <c r="K2160" s="4" t="s">
        <v>432</v>
      </c>
    </row>
    <row r="2161" spans="1:11" ht="15.75" hidden="1" customHeight="1" x14ac:dyDescent="0.2">
      <c r="B2161" s="4" t="s">
        <v>8</v>
      </c>
      <c r="C2161" s="4" t="s">
        <v>358</v>
      </c>
      <c r="D2161" s="4" t="s">
        <v>42</v>
      </c>
      <c r="E2161" s="4" t="s">
        <v>55</v>
      </c>
      <c r="F2161" s="4" t="s">
        <v>431</v>
      </c>
      <c r="G2161" s="7" t="s">
        <v>11</v>
      </c>
      <c r="H2161" s="6" t="s">
        <v>11</v>
      </c>
      <c r="I2161" s="4" t="s">
        <v>197</v>
      </c>
      <c r="J2161" s="4" t="s">
        <v>371</v>
      </c>
      <c r="K2161" s="4" t="s">
        <v>367</v>
      </c>
    </row>
    <row r="2162" spans="1:11" ht="15.75" hidden="1" customHeight="1" x14ac:dyDescent="0.2">
      <c r="B2162" s="4" t="s">
        <v>8</v>
      </c>
      <c r="C2162" s="4" t="s">
        <v>233</v>
      </c>
      <c r="D2162" s="4" t="s">
        <v>232</v>
      </c>
      <c r="E2162" s="4" t="s">
        <v>17</v>
      </c>
      <c r="F2162" s="4" t="s">
        <v>430</v>
      </c>
      <c r="G2162" s="7" t="s">
        <v>348</v>
      </c>
      <c r="H2162" s="6" t="s">
        <v>11</v>
      </c>
      <c r="I2162" s="4" t="s">
        <v>10</v>
      </c>
      <c r="J2162" s="4" t="s">
        <v>15</v>
      </c>
      <c r="K2162" s="4" t="s">
        <v>34</v>
      </c>
    </row>
    <row r="2163" spans="1:11" ht="15.75" hidden="1" customHeight="1" x14ac:dyDescent="0.2">
      <c r="B2163" s="4" t="s">
        <v>8</v>
      </c>
      <c r="C2163" s="4" t="s">
        <v>228</v>
      </c>
      <c r="D2163" s="4" t="s">
        <v>36</v>
      </c>
      <c r="E2163" s="4" t="s">
        <v>17</v>
      </c>
      <c r="F2163" s="4" t="s">
        <v>429</v>
      </c>
      <c r="G2163" s="4" t="s">
        <v>289</v>
      </c>
      <c r="H2163" s="6" t="s">
        <v>272</v>
      </c>
      <c r="I2163" s="4" t="s">
        <v>428</v>
      </c>
      <c r="J2163" s="4" t="s">
        <v>50</v>
      </c>
      <c r="K2163" s="4" t="s">
        <v>279</v>
      </c>
    </row>
    <row r="2164" spans="1:11" ht="15.75" hidden="1" customHeight="1" x14ac:dyDescent="0.2">
      <c r="B2164" s="4" t="s">
        <v>8</v>
      </c>
      <c r="C2164" s="4" t="s">
        <v>358</v>
      </c>
      <c r="D2164" s="4" t="s">
        <v>42</v>
      </c>
      <c r="E2164" s="4" t="s">
        <v>23</v>
      </c>
      <c r="F2164" s="4" t="s">
        <v>427</v>
      </c>
      <c r="G2164" s="7" t="s">
        <v>11</v>
      </c>
      <c r="H2164" s="6" t="s">
        <v>11</v>
      </c>
      <c r="I2164" s="4" t="s">
        <v>109</v>
      </c>
      <c r="J2164" s="4" t="s">
        <v>20</v>
      </c>
      <c r="K2164" s="4" t="s">
        <v>370</v>
      </c>
    </row>
    <row r="2165" spans="1:11" ht="15.75" customHeight="1" x14ac:dyDescent="0.2">
      <c r="A2165" s="1">
        <v>231</v>
      </c>
      <c r="B2165" s="4" t="s">
        <v>8</v>
      </c>
      <c r="C2165" s="4" t="s">
        <v>426</v>
      </c>
      <c r="D2165" s="4" t="s">
        <v>426</v>
      </c>
      <c r="E2165" s="4" t="s">
        <v>5</v>
      </c>
      <c r="F2165" s="4" t="s">
        <v>425</v>
      </c>
      <c r="G2165" s="7" t="s">
        <v>3</v>
      </c>
      <c r="H2165" s="6" t="s">
        <v>3</v>
      </c>
      <c r="I2165" s="4" t="s">
        <v>10</v>
      </c>
      <c r="J2165" s="4" t="s">
        <v>424</v>
      </c>
      <c r="K2165" s="4" t="s">
        <v>0</v>
      </c>
    </row>
    <row r="2166" spans="1:11" ht="15.75" hidden="1" customHeight="1" x14ac:dyDescent="0.2">
      <c r="B2166" s="4" t="s">
        <v>8</v>
      </c>
      <c r="C2166" s="4" t="s">
        <v>150</v>
      </c>
      <c r="D2166" s="4" t="s">
        <v>150</v>
      </c>
      <c r="E2166" s="4" t="s">
        <v>55</v>
      </c>
      <c r="F2166" s="4" t="s">
        <v>423</v>
      </c>
      <c r="G2166" s="7" t="s">
        <v>11</v>
      </c>
      <c r="H2166" s="6" t="s">
        <v>11</v>
      </c>
      <c r="I2166" s="4" t="s">
        <v>197</v>
      </c>
      <c r="J2166" s="4" t="s">
        <v>371</v>
      </c>
      <c r="K2166" s="4"/>
    </row>
    <row r="2167" spans="1:11" ht="15.75" hidden="1" customHeight="1" x14ac:dyDescent="0.2">
      <c r="B2167" s="4" t="s">
        <v>8</v>
      </c>
      <c r="C2167" s="4" t="s">
        <v>48</v>
      </c>
      <c r="D2167" s="4" t="s">
        <v>47</v>
      </c>
      <c r="E2167" s="4" t="s">
        <v>23</v>
      </c>
      <c r="F2167" s="4" t="s">
        <v>422</v>
      </c>
      <c r="G2167" s="7" t="s">
        <v>11</v>
      </c>
      <c r="H2167" s="6" t="s">
        <v>11</v>
      </c>
      <c r="I2167" s="4" t="s">
        <v>10</v>
      </c>
      <c r="J2167" s="4" t="s">
        <v>20</v>
      </c>
      <c r="K2167" s="4" t="s">
        <v>0</v>
      </c>
    </row>
    <row r="2168" spans="1:11" ht="15.75" customHeight="1" x14ac:dyDescent="0.2">
      <c r="A2168" s="1">
        <v>232</v>
      </c>
      <c r="B2168" s="4" t="s">
        <v>8</v>
      </c>
      <c r="C2168" s="4" t="s">
        <v>421</v>
      </c>
      <c r="D2168" s="4" t="s">
        <v>42</v>
      </c>
      <c r="E2168" s="4" t="s">
        <v>23</v>
      </c>
      <c r="F2168" s="4" t="s">
        <v>420</v>
      </c>
      <c r="G2168" s="7" t="s">
        <v>3</v>
      </c>
      <c r="H2168" s="6" t="s">
        <v>3</v>
      </c>
      <c r="I2168" s="4" t="s">
        <v>10</v>
      </c>
      <c r="J2168" s="4" t="s">
        <v>15</v>
      </c>
      <c r="K2168" s="4" t="s">
        <v>0</v>
      </c>
    </row>
    <row r="2169" spans="1:11" ht="15.75" customHeight="1" x14ac:dyDescent="0.2">
      <c r="A2169" s="1">
        <v>233</v>
      </c>
      <c r="B2169" s="4" t="s">
        <v>8</v>
      </c>
      <c r="C2169" s="4" t="s">
        <v>170</v>
      </c>
      <c r="D2169" s="4" t="s">
        <v>88</v>
      </c>
      <c r="E2169" s="4" t="s">
        <v>5</v>
      </c>
      <c r="F2169" s="4" t="s">
        <v>419</v>
      </c>
      <c r="G2169" s="7" t="s">
        <v>3</v>
      </c>
      <c r="H2169" s="6" t="s">
        <v>3</v>
      </c>
      <c r="I2169" s="4" t="s">
        <v>10</v>
      </c>
      <c r="J2169" s="4" t="s">
        <v>20</v>
      </c>
      <c r="K2169" s="4" t="s">
        <v>0</v>
      </c>
    </row>
    <row r="2170" spans="1:11" ht="15.75" hidden="1" customHeight="1" x14ac:dyDescent="0.2">
      <c r="B2170" s="4" t="s">
        <v>8</v>
      </c>
      <c r="C2170" s="4" t="s">
        <v>89</v>
      </c>
      <c r="D2170" s="4" t="s">
        <v>88</v>
      </c>
      <c r="E2170" s="4" t="s">
        <v>17</v>
      </c>
      <c r="F2170" s="4" t="s">
        <v>418</v>
      </c>
      <c r="G2170" s="7" t="s">
        <v>11</v>
      </c>
      <c r="H2170" s="6" t="s">
        <v>11</v>
      </c>
      <c r="I2170" s="4" t="s">
        <v>10</v>
      </c>
      <c r="J2170" s="4" t="s">
        <v>15</v>
      </c>
      <c r="K2170" s="4" t="s">
        <v>0</v>
      </c>
    </row>
    <row r="2171" spans="1:11" ht="15.75" hidden="1" customHeight="1" x14ac:dyDescent="0.2">
      <c r="B2171" s="4" t="s">
        <v>8</v>
      </c>
      <c r="C2171" s="4" t="s">
        <v>417</v>
      </c>
      <c r="D2171" s="4" t="s">
        <v>150</v>
      </c>
      <c r="E2171" s="4" t="s">
        <v>17</v>
      </c>
      <c r="F2171" s="4" t="s">
        <v>416</v>
      </c>
      <c r="G2171" s="7" t="s">
        <v>11</v>
      </c>
      <c r="H2171" s="6" t="s">
        <v>11</v>
      </c>
      <c r="I2171" s="4" t="s">
        <v>10</v>
      </c>
      <c r="J2171" s="4" t="s">
        <v>15</v>
      </c>
      <c r="K2171" s="4" t="s">
        <v>0</v>
      </c>
    </row>
    <row r="2172" spans="1:11" ht="15.75" hidden="1" customHeight="1" x14ac:dyDescent="0.2">
      <c r="B2172" s="4" t="s">
        <v>8</v>
      </c>
      <c r="C2172" s="4"/>
      <c r="D2172" s="4" t="s">
        <v>236</v>
      </c>
      <c r="E2172" s="4" t="s">
        <v>17</v>
      </c>
      <c r="F2172" s="4" t="s">
        <v>415</v>
      </c>
      <c r="G2172" s="7" t="str">
        <f>HYPERLINK("https://www.facebook.com/groups/goapetlife/permalink/2009982195768399/","Social media")</f>
        <v>Social media</v>
      </c>
      <c r="H2172" s="6" t="s">
        <v>11</v>
      </c>
      <c r="I2172" s="4" t="s">
        <v>414</v>
      </c>
      <c r="J2172" s="4" t="s">
        <v>15</v>
      </c>
      <c r="K2172" s="4" t="s">
        <v>413</v>
      </c>
    </row>
    <row r="2173" spans="1:11" ht="15.75" hidden="1" customHeight="1" x14ac:dyDescent="0.2">
      <c r="B2173" s="4" t="s">
        <v>8</v>
      </c>
      <c r="C2173" s="4" t="s">
        <v>412</v>
      </c>
      <c r="D2173" s="4" t="s">
        <v>236</v>
      </c>
      <c r="E2173" s="4" t="s">
        <v>17</v>
      </c>
      <c r="F2173" s="4" t="s">
        <v>411</v>
      </c>
      <c r="G2173" s="7" t="str">
        <f>HYPERLINK("https://www.facebook.com/alison.epereira/posts/2851071204909401","Social media")</f>
        <v>Social media</v>
      </c>
      <c r="H2173" s="6" t="s">
        <v>11</v>
      </c>
      <c r="I2173" s="4" t="s">
        <v>10</v>
      </c>
      <c r="J2173" s="4" t="s">
        <v>15</v>
      </c>
      <c r="K2173" s="4" t="s">
        <v>0</v>
      </c>
    </row>
    <row r="2174" spans="1:11" ht="15.75" customHeight="1" x14ac:dyDescent="0.2">
      <c r="A2174" s="1">
        <v>234</v>
      </c>
      <c r="B2174" s="4" t="s">
        <v>8</v>
      </c>
      <c r="C2174" s="4" t="s">
        <v>410</v>
      </c>
      <c r="D2174" s="4" t="s">
        <v>77</v>
      </c>
      <c r="E2174" s="4" t="s">
        <v>5</v>
      </c>
      <c r="F2174" s="4" t="s">
        <v>409</v>
      </c>
      <c r="G2174" s="7" t="str">
        <f>HYPERLINK("https://www.newindianexpress.com/states/tamil-nadu/2019/sep/27/forest-officials-accused-of-beating-elephants-using-jcb-to-shift-them-2040030.html","News")</f>
        <v>News</v>
      </c>
      <c r="H2174" s="6" t="s">
        <v>3</v>
      </c>
      <c r="I2174" s="4" t="s">
        <v>86</v>
      </c>
      <c r="J2174" s="4" t="s">
        <v>15</v>
      </c>
      <c r="K2174" s="4" t="s">
        <v>64</v>
      </c>
    </row>
    <row r="2175" spans="1:11" ht="15.75" customHeight="1" x14ac:dyDescent="0.2">
      <c r="A2175" s="1">
        <v>235</v>
      </c>
      <c r="B2175" s="4" t="s">
        <v>8</v>
      </c>
      <c r="C2175" s="4" t="s">
        <v>408</v>
      </c>
      <c r="D2175" s="4" t="s">
        <v>28</v>
      </c>
      <c r="E2175" s="4" t="s">
        <v>23</v>
      </c>
      <c r="F2175" s="4" t="s">
        <v>407</v>
      </c>
      <c r="G2175" s="7" t="s">
        <v>199</v>
      </c>
      <c r="H2175" s="6" t="s">
        <v>3</v>
      </c>
      <c r="I2175" s="4" t="s">
        <v>10</v>
      </c>
      <c r="J2175" s="4" t="s">
        <v>15</v>
      </c>
      <c r="K2175" s="4" t="s">
        <v>0</v>
      </c>
    </row>
    <row r="2176" spans="1:11" ht="15.75" hidden="1" customHeight="1" x14ac:dyDescent="0.2">
      <c r="B2176" s="4" t="s">
        <v>8</v>
      </c>
      <c r="C2176" s="4" t="s">
        <v>406</v>
      </c>
      <c r="D2176" s="4" t="s">
        <v>267</v>
      </c>
      <c r="E2176" s="4" t="s">
        <v>17</v>
      </c>
      <c r="F2176" s="4" t="s">
        <v>405</v>
      </c>
      <c r="G2176" s="7" t="s">
        <v>11</v>
      </c>
      <c r="H2176" s="6" t="s">
        <v>11</v>
      </c>
      <c r="I2176" s="4" t="s">
        <v>10</v>
      </c>
      <c r="J2176" s="4" t="s">
        <v>20</v>
      </c>
      <c r="K2176" s="4" t="s">
        <v>0</v>
      </c>
    </row>
    <row r="2177" spans="1:11" ht="15.75" hidden="1" customHeight="1" x14ac:dyDescent="0.2">
      <c r="B2177" s="4" t="s">
        <v>8</v>
      </c>
      <c r="C2177" s="4" t="s">
        <v>228</v>
      </c>
      <c r="D2177" s="4" t="s">
        <v>36</v>
      </c>
      <c r="E2177" s="4" t="s">
        <v>17</v>
      </c>
      <c r="F2177" s="4" t="s">
        <v>404</v>
      </c>
      <c r="G2177" s="4" t="s">
        <v>329</v>
      </c>
      <c r="H2177" s="6" t="s">
        <v>272</v>
      </c>
      <c r="I2177" s="4" t="s">
        <v>10</v>
      </c>
      <c r="J2177" s="4" t="s">
        <v>15</v>
      </c>
      <c r="K2177" s="4" t="s">
        <v>0</v>
      </c>
    </row>
    <row r="2178" spans="1:11" ht="15.75" hidden="1" customHeight="1" x14ac:dyDescent="0.2">
      <c r="B2178" s="4" t="s">
        <v>8</v>
      </c>
      <c r="C2178" s="4" t="s">
        <v>403</v>
      </c>
      <c r="D2178" s="4" t="s">
        <v>236</v>
      </c>
      <c r="E2178" s="4" t="s">
        <v>5</v>
      </c>
      <c r="F2178" s="4" t="s">
        <v>402</v>
      </c>
      <c r="G2178" s="7" t="str">
        <f>HYPERLINK("https://www.facebook.com/groups/goapetlife/permalink/2020601261373159/","Social media")</f>
        <v>Social media</v>
      </c>
      <c r="H2178" s="6" t="s">
        <v>11</v>
      </c>
      <c r="I2178" s="4" t="s">
        <v>10</v>
      </c>
      <c r="J2178" s="4" t="s">
        <v>15</v>
      </c>
      <c r="K2178" s="4" t="s">
        <v>0</v>
      </c>
    </row>
    <row r="2179" spans="1:11" ht="15.75" hidden="1" customHeight="1" x14ac:dyDescent="0.2">
      <c r="B2179" s="4" t="s">
        <v>8</v>
      </c>
      <c r="C2179" s="4" t="s">
        <v>401</v>
      </c>
      <c r="D2179" s="4" t="s">
        <v>71</v>
      </c>
      <c r="E2179" s="4" t="s">
        <v>5</v>
      </c>
      <c r="F2179" s="4" t="s">
        <v>400</v>
      </c>
      <c r="G2179" s="7" t="s">
        <v>11</v>
      </c>
      <c r="H2179" s="6" t="s">
        <v>11</v>
      </c>
      <c r="I2179" s="4" t="s">
        <v>10</v>
      </c>
      <c r="J2179" s="4" t="s">
        <v>15</v>
      </c>
      <c r="K2179" s="4" t="s">
        <v>0</v>
      </c>
    </row>
    <row r="2180" spans="1:11" ht="15.75" customHeight="1" x14ac:dyDescent="0.2">
      <c r="A2180" s="1">
        <v>236</v>
      </c>
      <c r="B2180" s="4" t="s">
        <v>8</v>
      </c>
      <c r="C2180" s="4" t="s">
        <v>111</v>
      </c>
      <c r="D2180" s="4" t="s">
        <v>24</v>
      </c>
      <c r="E2180" s="4" t="s">
        <v>27</v>
      </c>
      <c r="F2180" s="4" t="s">
        <v>399</v>
      </c>
      <c r="G2180" s="7" t="str">
        <f>HYPERLINK("https://timesofindia.indiatimes.com/city/hyderabad/drunk-woman-picks-up-axe-severely-wounds-aged-dog/articleshow/71412304.cms","News")</f>
        <v>News</v>
      </c>
      <c r="H2180" s="6" t="s">
        <v>3</v>
      </c>
      <c r="I2180" s="4" t="s">
        <v>10</v>
      </c>
      <c r="J2180" s="4" t="s">
        <v>15</v>
      </c>
      <c r="K2180" s="4" t="s">
        <v>0</v>
      </c>
    </row>
    <row r="2181" spans="1:11" ht="15.75" customHeight="1" x14ac:dyDescent="0.2">
      <c r="A2181" s="1">
        <v>237</v>
      </c>
      <c r="B2181" s="4" t="s">
        <v>8</v>
      </c>
      <c r="C2181" s="4" t="s">
        <v>398</v>
      </c>
      <c r="D2181" s="4" t="s">
        <v>62</v>
      </c>
      <c r="E2181" s="4" t="s">
        <v>17</v>
      </c>
      <c r="F2181" s="4" t="s">
        <v>397</v>
      </c>
      <c r="G2181" s="7" t="s">
        <v>3</v>
      </c>
      <c r="H2181" s="6" t="s">
        <v>3</v>
      </c>
      <c r="I2181" s="4" t="s">
        <v>86</v>
      </c>
      <c r="J2181" s="4" t="s">
        <v>20</v>
      </c>
      <c r="K2181" s="4" t="s">
        <v>45</v>
      </c>
    </row>
    <row r="2182" spans="1:11" ht="15.75" hidden="1" customHeight="1" x14ac:dyDescent="0.2">
      <c r="B2182" s="4" t="s">
        <v>8</v>
      </c>
      <c r="C2182" s="4"/>
      <c r="D2182" s="4" t="s">
        <v>236</v>
      </c>
      <c r="E2182" s="4" t="s">
        <v>17</v>
      </c>
      <c r="F2182" s="4" t="s">
        <v>396</v>
      </c>
      <c r="G2182" s="4" t="s">
        <v>395</v>
      </c>
      <c r="H2182" s="6" t="s">
        <v>11</v>
      </c>
      <c r="I2182" s="4" t="s">
        <v>10</v>
      </c>
      <c r="J2182" s="4" t="s">
        <v>15</v>
      </c>
      <c r="K2182" s="4" t="s">
        <v>0</v>
      </c>
    </row>
    <row r="2183" spans="1:11" ht="15.75" hidden="1" customHeight="1" x14ac:dyDescent="0.2">
      <c r="B2183" s="4" t="s">
        <v>8</v>
      </c>
      <c r="C2183" s="4" t="s">
        <v>228</v>
      </c>
      <c r="D2183" s="4" t="s">
        <v>36</v>
      </c>
      <c r="E2183" s="4" t="s">
        <v>17</v>
      </c>
      <c r="F2183" s="4" t="s">
        <v>394</v>
      </c>
      <c r="G2183" s="4" t="s">
        <v>329</v>
      </c>
      <c r="H2183" s="6" t="s">
        <v>272</v>
      </c>
      <c r="I2183" s="4" t="s">
        <v>10</v>
      </c>
      <c r="J2183" s="4" t="s">
        <v>15</v>
      </c>
      <c r="K2183" s="4" t="s">
        <v>0</v>
      </c>
    </row>
    <row r="2184" spans="1:11" ht="15.75" hidden="1" customHeight="1" x14ac:dyDescent="0.2">
      <c r="B2184" s="4" t="s">
        <v>8</v>
      </c>
      <c r="C2184" s="4" t="s">
        <v>130</v>
      </c>
      <c r="D2184" s="4" t="s">
        <v>77</v>
      </c>
      <c r="E2184" s="4" t="s">
        <v>5</v>
      </c>
      <c r="F2184" s="4" t="s">
        <v>393</v>
      </c>
      <c r="G2184" s="4" t="s">
        <v>348</v>
      </c>
      <c r="H2184" s="6" t="s">
        <v>11</v>
      </c>
      <c r="I2184" s="4" t="s">
        <v>2</v>
      </c>
      <c r="J2184" s="4" t="s">
        <v>15</v>
      </c>
      <c r="K2184" s="4" t="s">
        <v>0</v>
      </c>
    </row>
    <row r="2185" spans="1:11" ht="15.75" hidden="1" customHeight="1" x14ac:dyDescent="0.2">
      <c r="B2185" s="4" t="s">
        <v>8</v>
      </c>
      <c r="C2185" s="4" t="s">
        <v>139</v>
      </c>
      <c r="D2185" s="4" t="s">
        <v>18</v>
      </c>
      <c r="E2185" s="4" t="s">
        <v>17</v>
      </c>
      <c r="F2185" s="4" t="s">
        <v>392</v>
      </c>
      <c r="G2185" s="7" t="str">
        <f>HYPERLINK("https://www.facebook.com/resqct/posts/10157479270411101","Social media")</f>
        <v>Social media</v>
      </c>
      <c r="H2185" s="6" t="s">
        <v>11</v>
      </c>
      <c r="I2185" s="4" t="s">
        <v>2</v>
      </c>
      <c r="J2185" s="4" t="s">
        <v>15</v>
      </c>
      <c r="K2185" s="4" t="s">
        <v>0</v>
      </c>
    </row>
    <row r="2186" spans="1:11" ht="15.75" hidden="1" customHeight="1" x14ac:dyDescent="0.2">
      <c r="B2186" s="4" t="s">
        <v>8</v>
      </c>
      <c r="C2186" s="4" t="s">
        <v>150</v>
      </c>
      <c r="D2186" s="4" t="s">
        <v>150</v>
      </c>
      <c r="E2186" s="4" t="s">
        <v>23</v>
      </c>
      <c r="F2186" s="4" t="s">
        <v>391</v>
      </c>
      <c r="G2186" s="7" t="s">
        <v>11</v>
      </c>
      <c r="H2186" s="6" t="s">
        <v>11</v>
      </c>
      <c r="I2186" s="4" t="s">
        <v>10</v>
      </c>
      <c r="J2186" s="4" t="s">
        <v>20</v>
      </c>
      <c r="K2186" s="4" t="s">
        <v>0</v>
      </c>
    </row>
    <row r="2187" spans="1:11" ht="15.75" customHeight="1" x14ac:dyDescent="0.2">
      <c r="A2187" s="1">
        <v>238</v>
      </c>
      <c r="B2187" s="4" t="s">
        <v>8</v>
      </c>
      <c r="C2187" s="4" t="s">
        <v>390</v>
      </c>
      <c r="D2187" s="4" t="s">
        <v>24</v>
      </c>
      <c r="E2187" s="4" t="s">
        <v>81</v>
      </c>
      <c r="F2187" s="4" t="s">
        <v>389</v>
      </c>
      <c r="G2187" s="7" t="str">
        <f>HYPERLINK("https://mumbaimirror.indiatimes.com/news/india/telangana-cops-arrest-youth-for-indulging-in-bestiality-with-a-calf/articleshow/71555045.cms","News")</f>
        <v>News</v>
      </c>
      <c r="H2187" s="6" t="s">
        <v>3</v>
      </c>
      <c r="I2187" s="4" t="s">
        <v>109</v>
      </c>
      <c r="J2187" s="4" t="s">
        <v>82</v>
      </c>
      <c r="K2187" s="4" t="s">
        <v>108</v>
      </c>
    </row>
    <row r="2188" spans="1:11" ht="15.75" customHeight="1" x14ac:dyDescent="0.2">
      <c r="A2188" s="1">
        <v>239</v>
      </c>
      <c r="B2188" s="4" t="s">
        <v>8</v>
      </c>
      <c r="C2188" s="4" t="s">
        <v>388</v>
      </c>
      <c r="D2188" s="4" t="s">
        <v>28</v>
      </c>
      <c r="E2188" s="4" t="s">
        <v>23</v>
      </c>
      <c r="F2188" s="4" t="s">
        <v>387</v>
      </c>
      <c r="G2188" s="7" t="s">
        <v>3</v>
      </c>
      <c r="H2188" s="6" t="s">
        <v>3</v>
      </c>
      <c r="I2188" s="4" t="s">
        <v>86</v>
      </c>
      <c r="J2188" s="4" t="s">
        <v>15</v>
      </c>
      <c r="K2188" s="4" t="s">
        <v>45</v>
      </c>
    </row>
    <row r="2189" spans="1:11" ht="15.75" hidden="1" customHeight="1" x14ac:dyDescent="0.2">
      <c r="B2189" s="4" t="s">
        <v>8</v>
      </c>
      <c r="C2189" s="4" t="s">
        <v>382</v>
      </c>
      <c r="D2189" s="4" t="s">
        <v>77</v>
      </c>
      <c r="E2189" s="4" t="s">
        <v>17</v>
      </c>
      <c r="F2189" s="4" t="s">
        <v>386</v>
      </c>
      <c r="G2189" s="7" t="str">
        <f>HYPERLINK("https://www.facebook.com/groups/has.cbe/permalink/10157733576552421/","Social media")</f>
        <v>Social media</v>
      </c>
      <c r="H2189" s="6" t="s">
        <v>11</v>
      </c>
      <c r="I2189" s="4" t="s">
        <v>10</v>
      </c>
      <c r="J2189" s="4" t="s">
        <v>15</v>
      </c>
      <c r="K2189" s="4" t="s">
        <v>75</v>
      </c>
    </row>
    <row r="2190" spans="1:11" ht="15.75" customHeight="1" x14ac:dyDescent="0.2">
      <c r="A2190" s="1">
        <v>240</v>
      </c>
      <c r="B2190" s="4" t="s">
        <v>8</v>
      </c>
      <c r="C2190" s="4" t="s">
        <v>385</v>
      </c>
      <c r="D2190" s="4" t="s">
        <v>59</v>
      </c>
      <c r="E2190" s="4" t="s">
        <v>23</v>
      </c>
      <c r="F2190" s="4" t="s">
        <v>384</v>
      </c>
      <c r="G2190" s="7" t="s">
        <v>3</v>
      </c>
      <c r="H2190" s="6" t="s">
        <v>3</v>
      </c>
      <c r="I2190" s="4" t="s">
        <v>10</v>
      </c>
      <c r="J2190" s="4" t="s">
        <v>20</v>
      </c>
      <c r="K2190" s="4" t="s">
        <v>0</v>
      </c>
    </row>
    <row r="2191" spans="1:11" ht="15.75" hidden="1" customHeight="1" x14ac:dyDescent="0.2">
      <c r="B2191" s="4" t="s">
        <v>8</v>
      </c>
      <c r="C2191" s="4" t="s">
        <v>358</v>
      </c>
      <c r="D2191" s="4" t="s">
        <v>42</v>
      </c>
      <c r="E2191" s="4" t="s">
        <v>17</v>
      </c>
      <c r="F2191" s="4" t="s">
        <v>383</v>
      </c>
      <c r="G2191" s="7" t="s">
        <v>11</v>
      </c>
      <c r="H2191" s="6" t="s">
        <v>11</v>
      </c>
      <c r="I2191" s="4" t="s">
        <v>10</v>
      </c>
      <c r="J2191" s="4" t="s">
        <v>15</v>
      </c>
      <c r="K2191" s="4" t="s">
        <v>0</v>
      </c>
    </row>
    <row r="2192" spans="1:11" ht="15.75" hidden="1" customHeight="1" x14ac:dyDescent="0.2">
      <c r="B2192" s="4" t="s">
        <v>8</v>
      </c>
      <c r="C2192" s="4" t="s">
        <v>382</v>
      </c>
      <c r="D2192" s="4" t="s">
        <v>77</v>
      </c>
      <c r="E2192" s="4" t="s">
        <v>17</v>
      </c>
      <c r="F2192" s="4" t="s">
        <v>381</v>
      </c>
      <c r="G2192" s="7" t="str">
        <f>HYPERLINK("https://www.facebook.com/groups/has.cbe/permalink/10157737588212421/","Social media")</f>
        <v>Social media</v>
      </c>
      <c r="H2192" s="6" t="s">
        <v>11</v>
      </c>
      <c r="I2192" s="4" t="s">
        <v>10</v>
      </c>
      <c r="J2192" s="4" t="s">
        <v>15</v>
      </c>
      <c r="K2192" s="4" t="s">
        <v>0</v>
      </c>
    </row>
    <row r="2193" spans="1:11" ht="15.75" hidden="1" customHeight="1" x14ac:dyDescent="0.2">
      <c r="B2193" s="4" t="s">
        <v>8</v>
      </c>
      <c r="C2193" s="4" t="s">
        <v>380</v>
      </c>
      <c r="D2193" s="4" t="s">
        <v>66</v>
      </c>
      <c r="E2193" s="4" t="s">
        <v>23</v>
      </c>
      <c r="F2193" s="4" t="s">
        <v>379</v>
      </c>
      <c r="G2193" s="4" t="s">
        <v>348</v>
      </c>
      <c r="H2193" s="6" t="s">
        <v>11</v>
      </c>
      <c r="I2193" s="4" t="s">
        <v>2</v>
      </c>
      <c r="J2193" s="4" t="s">
        <v>15</v>
      </c>
      <c r="K2193" s="4" t="s">
        <v>0</v>
      </c>
    </row>
    <row r="2194" spans="1:11" ht="15.75" hidden="1" customHeight="1" x14ac:dyDescent="0.2">
      <c r="B2194" s="4" t="s">
        <v>8</v>
      </c>
      <c r="C2194" s="4" t="s">
        <v>378</v>
      </c>
      <c r="D2194" s="4" t="s">
        <v>236</v>
      </c>
      <c r="E2194" s="4" t="s">
        <v>17</v>
      </c>
      <c r="F2194" s="4" t="s">
        <v>377</v>
      </c>
      <c r="G2194" s="7" t="str">
        <f>HYPERLINK("https://www.facebook.com/groups/goapetlife/permalink/1183377075095586/","Social media")</f>
        <v>Social media</v>
      </c>
      <c r="H2194" s="6" t="s">
        <v>11</v>
      </c>
      <c r="I2194" s="4" t="s">
        <v>10</v>
      </c>
      <c r="J2194" s="4" t="s">
        <v>15</v>
      </c>
      <c r="K2194" s="4" t="s">
        <v>0</v>
      </c>
    </row>
    <row r="2195" spans="1:11" ht="15.75" customHeight="1" x14ac:dyDescent="0.2">
      <c r="A2195" s="1">
        <v>241</v>
      </c>
      <c r="B2195" s="4" t="s">
        <v>8</v>
      </c>
      <c r="C2195" s="4" t="s">
        <v>111</v>
      </c>
      <c r="D2195" s="4" t="s">
        <v>24</v>
      </c>
      <c r="E2195" s="4" t="s">
        <v>27</v>
      </c>
      <c r="F2195" s="4" t="s">
        <v>376</v>
      </c>
      <c r="G2195" s="7" t="str">
        <f>HYPERLINK("https://timesofindia.indiatimes.com/city/hyderabad/man-chokes-pet-dog-to-death-arrested/articleshow/71667995.cms","News")</f>
        <v>News</v>
      </c>
      <c r="H2195" s="6" t="s">
        <v>3</v>
      </c>
      <c r="I2195" s="4" t="s">
        <v>2</v>
      </c>
      <c r="J2195" s="4" t="s">
        <v>20</v>
      </c>
      <c r="K2195" s="4" t="s">
        <v>0</v>
      </c>
    </row>
    <row r="2196" spans="1:11" ht="15.75" customHeight="1" x14ac:dyDescent="0.2">
      <c r="A2196" s="1">
        <v>241</v>
      </c>
      <c r="B2196" s="4" t="s">
        <v>8</v>
      </c>
      <c r="C2196" s="4" t="s">
        <v>111</v>
      </c>
      <c r="D2196" s="4" t="s">
        <v>24</v>
      </c>
      <c r="E2196" s="4" t="s">
        <v>27</v>
      </c>
      <c r="F2196" s="4" t="s">
        <v>376</v>
      </c>
      <c r="G2196" s="4" t="s">
        <v>3</v>
      </c>
      <c r="H2196" s="6" t="s">
        <v>3</v>
      </c>
      <c r="I2196" s="4" t="s">
        <v>2</v>
      </c>
      <c r="J2196" s="4" t="s">
        <v>20</v>
      </c>
      <c r="K2196" s="4" t="s">
        <v>0</v>
      </c>
    </row>
    <row r="2197" spans="1:11" ht="15.75" hidden="1" customHeight="1" x14ac:dyDescent="0.2">
      <c r="B2197" s="4" t="s">
        <v>8</v>
      </c>
      <c r="C2197" s="4" t="s">
        <v>48</v>
      </c>
      <c r="D2197" s="4" t="s">
        <v>47</v>
      </c>
      <c r="E2197" s="4" t="s">
        <v>17</v>
      </c>
      <c r="F2197" s="4" t="s">
        <v>375</v>
      </c>
      <c r="G2197" s="7" t="s">
        <v>11</v>
      </c>
      <c r="H2197" s="6" t="s">
        <v>11</v>
      </c>
      <c r="I2197" s="4" t="s">
        <v>10</v>
      </c>
      <c r="J2197" s="4" t="s">
        <v>20</v>
      </c>
      <c r="K2197" s="4" t="s">
        <v>0</v>
      </c>
    </row>
    <row r="2198" spans="1:11" ht="15.75" customHeight="1" x14ac:dyDescent="0.2">
      <c r="A2198" s="1">
        <v>243</v>
      </c>
      <c r="B2198" s="4" t="s">
        <v>8</v>
      </c>
      <c r="C2198" s="4" t="s">
        <v>181</v>
      </c>
      <c r="D2198" s="4" t="s">
        <v>42</v>
      </c>
      <c r="E2198" s="4" t="s">
        <v>5</v>
      </c>
      <c r="F2198" s="4" t="s">
        <v>374</v>
      </c>
      <c r="G2198" s="7" t="s">
        <v>3</v>
      </c>
      <c r="H2198" s="6" t="s">
        <v>3</v>
      </c>
      <c r="I2198" s="4" t="s">
        <v>21</v>
      </c>
      <c r="J2198" s="4" t="s">
        <v>157</v>
      </c>
      <c r="K2198" s="4" t="s">
        <v>373</v>
      </c>
    </row>
    <row r="2199" spans="1:11" ht="15.75" hidden="1" customHeight="1" x14ac:dyDescent="0.2">
      <c r="B2199" s="4" t="s">
        <v>8</v>
      </c>
      <c r="C2199" s="4" t="s">
        <v>228</v>
      </c>
      <c r="D2199" s="4" t="s">
        <v>36</v>
      </c>
      <c r="E2199" s="4" t="s">
        <v>159</v>
      </c>
      <c r="F2199" s="4" t="s">
        <v>372</v>
      </c>
      <c r="G2199" s="4" t="s">
        <v>329</v>
      </c>
      <c r="H2199" s="6" t="s">
        <v>272</v>
      </c>
      <c r="I2199" s="4" t="s">
        <v>197</v>
      </c>
      <c r="J2199" s="4" t="s">
        <v>371</v>
      </c>
      <c r="K2199" s="4" t="s">
        <v>370</v>
      </c>
    </row>
    <row r="2200" spans="1:11" ht="15.75" customHeight="1" x14ac:dyDescent="0.2">
      <c r="A2200" s="1">
        <v>244</v>
      </c>
      <c r="B2200" s="4" t="s">
        <v>8</v>
      </c>
      <c r="C2200" s="4" t="s">
        <v>369</v>
      </c>
      <c r="D2200" s="4" t="s">
        <v>42</v>
      </c>
      <c r="E2200" s="4" t="s">
        <v>23</v>
      </c>
      <c r="F2200" s="4" t="s">
        <v>368</v>
      </c>
      <c r="G2200" s="7" t="s">
        <v>3</v>
      </c>
      <c r="H2200" s="6" t="s">
        <v>3</v>
      </c>
      <c r="I2200" s="4" t="s">
        <v>109</v>
      </c>
      <c r="J2200" s="4" t="s">
        <v>1</v>
      </c>
      <c r="K2200" s="4" t="s">
        <v>367</v>
      </c>
    </row>
    <row r="2201" spans="1:11" ht="15.75" customHeight="1" x14ac:dyDescent="0.2">
      <c r="A2201" s="1">
        <v>245</v>
      </c>
      <c r="B2201" s="4" t="s">
        <v>8</v>
      </c>
      <c r="C2201" s="4" t="s">
        <v>219</v>
      </c>
      <c r="D2201" s="4" t="s">
        <v>42</v>
      </c>
      <c r="E2201" s="4" t="s">
        <v>55</v>
      </c>
      <c r="F2201" s="4" t="s">
        <v>366</v>
      </c>
      <c r="G2201" s="7" t="s">
        <v>3</v>
      </c>
      <c r="H2201" s="6" t="s">
        <v>3</v>
      </c>
      <c r="I2201" s="4" t="s">
        <v>197</v>
      </c>
      <c r="J2201" s="4" t="s">
        <v>1</v>
      </c>
      <c r="K2201" s="4" t="s">
        <v>33</v>
      </c>
    </row>
    <row r="2202" spans="1:11" ht="15.75" hidden="1" customHeight="1" x14ac:dyDescent="0.2">
      <c r="B2202" s="4" t="s">
        <v>8</v>
      </c>
      <c r="C2202" s="4" t="s">
        <v>181</v>
      </c>
      <c r="D2202" s="4" t="s">
        <v>42</v>
      </c>
      <c r="E2202" s="4" t="s">
        <v>17</v>
      </c>
      <c r="F2202" s="4" t="s">
        <v>365</v>
      </c>
      <c r="G2202" s="7" t="s">
        <v>11</v>
      </c>
      <c r="H2202" s="6" t="s">
        <v>11</v>
      </c>
      <c r="I2202" s="4" t="s">
        <v>364</v>
      </c>
      <c r="J2202" s="4" t="s">
        <v>15</v>
      </c>
      <c r="K2202" s="4" t="s">
        <v>229</v>
      </c>
    </row>
    <row r="2203" spans="1:11" ht="15.75" customHeight="1" x14ac:dyDescent="0.2">
      <c r="A2203" s="1">
        <v>246</v>
      </c>
      <c r="B2203" s="4" t="s">
        <v>8</v>
      </c>
      <c r="C2203" s="4" t="s">
        <v>228</v>
      </c>
      <c r="D2203" s="4" t="s">
        <v>36</v>
      </c>
      <c r="E2203" s="4" t="s">
        <v>23</v>
      </c>
      <c r="F2203" s="4" t="s">
        <v>363</v>
      </c>
      <c r="G2203" s="7" t="str">
        <f>HYPERLINK("https://www.deccanherald.com/city/bengaluru-crime/3-youths-detained-for-animal-cruelty-during-deepavali-772413.html","News")</f>
        <v>News</v>
      </c>
      <c r="H2203" s="6" t="s">
        <v>3</v>
      </c>
      <c r="I2203" s="4" t="s">
        <v>10</v>
      </c>
      <c r="J2203" s="4" t="s">
        <v>15</v>
      </c>
      <c r="K2203" s="4" t="s">
        <v>0</v>
      </c>
    </row>
    <row r="2204" spans="1:11" ht="15.75" hidden="1" customHeight="1" x14ac:dyDescent="0.2">
      <c r="B2204" s="4" t="s">
        <v>8</v>
      </c>
      <c r="C2204" s="4" t="s">
        <v>14</v>
      </c>
      <c r="D2204" s="4" t="s">
        <v>13</v>
      </c>
      <c r="E2204" s="4" t="s">
        <v>5</v>
      </c>
      <c r="F2204" s="4" t="s">
        <v>362</v>
      </c>
      <c r="G2204" s="7" t="s">
        <v>11</v>
      </c>
      <c r="H2204" s="6" t="s">
        <v>11</v>
      </c>
      <c r="I2204" s="4" t="s">
        <v>10</v>
      </c>
      <c r="J2204" s="4" t="s">
        <v>15</v>
      </c>
      <c r="K2204" s="4" t="s">
        <v>0</v>
      </c>
    </row>
    <row r="2205" spans="1:11" ht="15.75" customHeight="1" x14ac:dyDescent="0.2">
      <c r="A2205" s="1">
        <v>247</v>
      </c>
      <c r="B2205" s="4" t="s">
        <v>8</v>
      </c>
      <c r="C2205" s="4" t="s">
        <v>361</v>
      </c>
      <c r="D2205" s="4" t="s">
        <v>88</v>
      </c>
      <c r="E2205" s="4" t="s">
        <v>17</v>
      </c>
      <c r="F2205" s="4" t="s">
        <v>360</v>
      </c>
      <c r="G2205" s="7" t="s">
        <v>3</v>
      </c>
      <c r="H2205" s="6" t="s">
        <v>3</v>
      </c>
      <c r="I2205" s="4" t="s">
        <v>21</v>
      </c>
      <c r="J2205" s="4" t="s">
        <v>20</v>
      </c>
      <c r="K2205" s="4" t="s">
        <v>359</v>
      </c>
    </row>
    <row r="2206" spans="1:11" ht="15.75" customHeight="1" x14ac:dyDescent="0.2">
      <c r="A2206" s="1">
        <v>248</v>
      </c>
      <c r="B2206" s="4" t="s">
        <v>8</v>
      </c>
      <c r="C2206" s="4" t="s">
        <v>358</v>
      </c>
      <c r="D2206" s="4" t="s">
        <v>42</v>
      </c>
      <c r="E2206" s="4" t="s">
        <v>27</v>
      </c>
      <c r="F2206" s="4" t="s">
        <v>357</v>
      </c>
      <c r="G2206" s="7" t="s">
        <v>3</v>
      </c>
      <c r="H2206" s="6" t="s">
        <v>3</v>
      </c>
      <c r="I2206" s="4" t="s">
        <v>10</v>
      </c>
      <c r="J2206" s="4" t="s">
        <v>15</v>
      </c>
      <c r="K2206" s="4" t="s">
        <v>0</v>
      </c>
    </row>
    <row r="2207" spans="1:11" ht="15.75" customHeight="1" x14ac:dyDescent="0.2">
      <c r="A2207" s="1">
        <v>249</v>
      </c>
      <c r="B2207" s="4" t="s">
        <v>8</v>
      </c>
      <c r="C2207" s="4" t="s">
        <v>89</v>
      </c>
      <c r="D2207" s="4" t="s">
        <v>88</v>
      </c>
      <c r="E2207" s="4" t="s">
        <v>17</v>
      </c>
      <c r="F2207" s="4" t="s">
        <v>356</v>
      </c>
      <c r="G2207" s="7" t="s">
        <v>3</v>
      </c>
      <c r="H2207" s="6" t="s">
        <v>3</v>
      </c>
      <c r="I2207" s="4" t="s">
        <v>86</v>
      </c>
      <c r="J2207" s="4" t="s">
        <v>15</v>
      </c>
      <c r="K2207" s="4" t="s">
        <v>355</v>
      </c>
    </row>
    <row r="2208" spans="1:11" ht="15.75" customHeight="1" x14ac:dyDescent="0.2">
      <c r="A2208" s="1">
        <v>250</v>
      </c>
      <c r="B2208" s="4" t="s">
        <v>8</v>
      </c>
      <c r="C2208" s="4" t="s">
        <v>354</v>
      </c>
      <c r="D2208" s="4" t="s">
        <v>13</v>
      </c>
      <c r="E2208" s="4" t="s">
        <v>23</v>
      </c>
      <c r="F2208" s="4" t="s">
        <v>353</v>
      </c>
      <c r="G2208" s="7" t="s">
        <v>3</v>
      </c>
      <c r="H2208" s="6" t="s">
        <v>3</v>
      </c>
      <c r="I2208" s="4" t="s">
        <v>109</v>
      </c>
      <c r="J2208" s="4" t="s">
        <v>304</v>
      </c>
      <c r="K2208" s="4" t="s">
        <v>33</v>
      </c>
    </row>
    <row r="2209" spans="1:11" ht="15.75" customHeight="1" x14ac:dyDescent="0.2">
      <c r="A2209" s="1">
        <v>251</v>
      </c>
      <c r="B2209" s="4" t="s">
        <v>8</v>
      </c>
      <c r="C2209" s="4" t="s">
        <v>104</v>
      </c>
      <c r="D2209" s="4" t="s">
        <v>18</v>
      </c>
      <c r="E2209" s="4" t="s">
        <v>23</v>
      </c>
      <c r="F2209" s="4" t="s">
        <v>352</v>
      </c>
      <c r="G2209" s="7" t="str">
        <f>HYPERLINK("https://www.mid-day.com/articles/mumbai-animal-lover-goes-to-cops-for-run-over-kitten-and-cat/20545157","News")</f>
        <v>News</v>
      </c>
      <c r="H2209" s="6" t="s">
        <v>3</v>
      </c>
      <c r="I2209" s="4" t="s">
        <v>10</v>
      </c>
      <c r="J2209" s="4" t="s">
        <v>20</v>
      </c>
      <c r="K2209" s="4" t="s">
        <v>75</v>
      </c>
    </row>
    <row r="2210" spans="1:11" ht="15.75" customHeight="1" x14ac:dyDescent="0.2">
      <c r="A2210" s="1">
        <v>252</v>
      </c>
      <c r="B2210" s="4" t="s">
        <v>8</v>
      </c>
      <c r="C2210" s="4" t="s">
        <v>351</v>
      </c>
      <c r="D2210" s="4" t="s">
        <v>88</v>
      </c>
      <c r="E2210" s="4" t="s">
        <v>23</v>
      </c>
      <c r="F2210" s="4" t="s">
        <v>350</v>
      </c>
      <c r="G2210" s="7" t="str">
        <f>HYPERLINK("https://www.oneindia.com/india/wb-pregnant-dog-burnt-alive-along-with-her-2-puppies-in-burdwan-2973186.html","News")</f>
        <v>News</v>
      </c>
      <c r="H2210" s="6" t="s">
        <v>3</v>
      </c>
      <c r="I2210" s="4" t="s">
        <v>10</v>
      </c>
      <c r="J2210" s="4" t="s">
        <v>20</v>
      </c>
      <c r="K2210" s="4" t="s">
        <v>0</v>
      </c>
    </row>
    <row r="2211" spans="1:11" ht="15.75" hidden="1" customHeight="1" x14ac:dyDescent="0.2">
      <c r="B2211" s="4" t="s">
        <v>8</v>
      </c>
      <c r="C2211" s="4"/>
      <c r="D2211" s="4" t="s">
        <v>236</v>
      </c>
      <c r="E2211" s="4" t="s">
        <v>17</v>
      </c>
      <c r="F2211" s="4" t="s">
        <v>349</v>
      </c>
      <c r="G2211" s="4" t="s">
        <v>348</v>
      </c>
      <c r="H2211" s="6" t="s">
        <v>11</v>
      </c>
      <c r="I2211" s="4" t="s">
        <v>2</v>
      </c>
      <c r="J2211" s="4" t="s">
        <v>15</v>
      </c>
      <c r="K2211" s="4" t="s">
        <v>0</v>
      </c>
    </row>
    <row r="2212" spans="1:11" ht="15.75" customHeight="1" x14ac:dyDescent="0.2">
      <c r="A2212" s="1">
        <v>253</v>
      </c>
      <c r="B2212" s="4" t="s">
        <v>8</v>
      </c>
      <c r="C2212" s="4" t="s">
        <v>347</v>
      </c>
      <c r="D2212" s="4" t="s">
        <v>154</v>
      </c>
      <c r="E2212" s="4" t="s">
        <v>81</v>
      </c>
      <c r="F2212" s="4" t="s">
        <v>346</v>
      </c>
      <c r="G2212" s="7" t="s">
        <v>3</v>
      </c>
      <c r="H2212" s="6" t="s">
        <v>3</v>
      </c>
      <c r="I2212" s="4" t="s">
        <v>10</v>
      </c>
      <c r="J2212" s="4" t="s">
        <v>20</v>
      </c>
      <c r="K2212" s="4" t="s">
        <v>0</v>
      </c>
    </row>
    <row r="2213" spans="1:11" ht="15.75" hidden="1" customHeight="1" x14ac:dyDescent="0.2">
      <c r="B2213" s="4" t="s">
        <v>8</v>
      </c>
      <c r="C2213" s="4" t="s">
        <v>130</v>
      </c>
      <c r="D2213" s="4" t="s">
        <v>77</v>
      </c>
      <c r="E2213" s="4" t="s">
        <v>17</v>
      </c>
      <c r="F2213" s="4" t="s">
        <v>345</v>
      </c>
      <c r="G2213" s="7" t="str">
        <f>HYPERLINK("https://www.facebook.com/bluecrossofindia/posts/10157587099947170","Social media")</f>
        <v>Social media</v>
      </c>
      <c r="H2213" s="6" t="s">
        <v>11</v>
      </c>
      <c r="I2213" s="4" t="s">
        <v>10</v>
      </c>
      <c r="J2213" s="4" t="s">
        <v>15</v>
      </c>
      <c r="K2213" s="4" t="s">
        <v>0</v>
      </c>
    </row>
    <row r="2214" spans="1:11" ht="15.75" hidden="1" customHeight="1" x14ac:dyDescent="0.2">
      <c r="B2214" s="4" t="s">
        <v>8</v>
      </c>
      <c r="C2214" s="4" t="s">
        <v>150</v>
      </c>
      <c r="D2214" s="4" t="s">
        <v>150</v>
      </c>
      <c r="E2214" s="4" t="s">
        <v>17</v>
      </c>
      <c r="F2214" s="4" t="s">
        <v>344</v>
      </c>
      <c r="G2214" s="7" t="s">
        <v>11</v>
      </c>
      <c r="H2214" s="6" t="s">
        <v>11</v>
      </c>
      <c r="I2214" s="4" t="s">
        <v>10</v>
      </c>
      <c r="J2214" s="4" t="s">
        <v>15</v>
      </c>
      <c r="K2214" s="4" t="s">
        <v>0</v>
      </c>
    </row>
    <row r="2215" spans="1:11" ht="15.75" hidden="1" customHeight="1" x14ac:dyDescent="0.2">
      <c r="B2215" s="4" t="s">
        <v>8</v>
      </c>
      <c r="C2215" s="4" t="s">
        <v>233</v>
      </c>
      <c r="D2215" s="4" t="s">
        <v>232</v>
      </c>
      <c r="E2215" s="4" t="s">
        <v>17</v>
      </c>
      <c r="F2215" s="4" t="s">
        <v>343</v>
      </c>
      <c r="G2215" s="7" t="s">
        <v>11</v>
      </c>
      <c r="H2215" s="6" t="s">
        <v>11</v>
      </c>
      <c r="I2215" s="4" t="s">
        <v>10</v>
      </c>
      <c r="J2215" s="4" t="s">
        <v>15</v>
      </c>
      <c r="K2215" s="4" t="s">
        <v>57</v>
      </c>
    </row>
    <row r="2216" spans="1:11" ht="15.75" hidden="1" customHeight="1" x14ac:dyDescent="0.2">
      <c r="B2216" s="4" t="s">
        <v>8</v>
      </c>
      <c r="C2216" s="4" t="s">
        <v>104</v>
      </c>
      <c r="D2216" s="4" t="s">
        <v>18</v>
      </c>
      <c r="E2216" s="4" t="s">
        <v>17</v>
      </c>
      <c r="F2216" s="4" t="s">
        <v>342</v>
      </c>
      <c r="G2216" s="7" t="str">
        <f>HYPERLINK("https://www.facebook.com/amtmindia/posts/2842803499065111","Social media")</f>
        <v>Social media</v>
      </c>
      <c r="H2216" s="6" t="s">
        <v>11</v>
      </c>
      <c r="I2216" s="4" t="s">
        <v>10</v>
      </c>
      <c r="J2216" s="4" t="s">
        <v>15</v>
      </c>
      <c r="K2216" s="4" t="s">
        <v>0</v>
      </c>
    </row>
    <row r="2217" spans="1:11" ht="15.75" customHeight="1" x14ac:dyDescent="0.2">
      <c r="A2217" s="1">
        <v>254</v>
      </c>
      <c r="B2217" s="4" t="s">
        <v>8</v>
      </c>
      <c r="C2217" s="4" t="s">
        <v>95</v>
      </c>
      <c r="D2217" s="4" t="s">
        <v>94</v>
      </c>
      <c r="E2217" s="4" t="s">
        <v>55</v>
      </c>
      <c r="F2217" s="4" t="s">
        <v>341</v>
      </c>
      <c r="G2217" s="7" t="s">
        <v>3</v>
      </c>
      <c r="H2217" s="6" t="s">
        <v>3</v>
      </c>
      <c r="I2217" s="4" t="s">
        <v>10</v>
      </c>
      <c r="J2217" s="4" t="s">
        <v>20</v>
      </c>
      <c r="K2217" s="4" t="s">
        <v>0</v>
      </c>
    </row>
    <row r="2218" spans="1:11" ht="15.75" hidden="1" customHeight="1" x14ac:dyDescent="0.2">
      <c r="B2218" s="4" t="s">
        <v>8</v>
      </c>
      <c r="C2218" s="4" t="s">
        <v>63</v>
      </c>
      <c r="D2218" s="4" t="s">
        <v>62</v>
      </c>
      <c r="E2218" s="4" t="s">
        <v>23</v>
      </c>
      <c r="F2218" s="4" t="s">
        <v>340</v>
      </c>
      <c r="G2218" s="7" t="s">
        <v>207</v>
      </c>
      <c r="H2218" s="6" t="s">
        <v>11</v>
      </c>
      <c r="I2218" s="4" t="s">
        <v>109</v>
      </c>
      <c r="J2218" s="4" t="s">
        <v>15</v>
      </c>
      <c r="K2218" s="4" t="s">
        <v>339</v>
      </c>
    </row>
    <row r="2219" spans="1:11" ht="15.75" customHeight="1" x14ac:dyDescent="0.2">
      <c r="A2219" s="1">
        <v>255</v>
      </c>
      <c r="B2219" s="4" t="s">
        <v>8</v>
      </c>
      <c r="C2219" s="4" t="s">
        <v>72</v>
      </c>
      <c r="D2219" s="4" t="s">
        <v>71</v>
      </c>
      <c r="E2219" s="4" t="s">
        <v>27</v>
      </c>
      <c r="F2219" s="4" t="s">
        <v>337</v>
      </c>
      <c r="G2219" s="7" t="s">
        <v>3</v>
      </c>
      <c r="H2219" s="6" t="s">
        <v>3</v>
      </c>
      <c r="I2219" s="4" t="s">
        <v>2</v>
      </c>
      <c r="J2219" s="4" t="s">
        <v>20</v>
      </c>
      <c r="K2219" s="4" t="s">
        <v>0</v>
      </c>
    </row>
    <row r="2220" spans="1:11" ht="15.75" hidden="1" customHeight="1" x14ac:dyDescent="0.2">
      <c r="B2220" s="4" t="s">
        <v>8</v>
      </c>
      <c r="C2220" s="4" t="s">
        <v>14</v>
      </c>
      <c r="D2220" s="4" t="s">
        <v>13</v>
      </c>
      <c r="E2220" s="4" t="s">
        <v>17</v>
      </c>
      <c r="F2220" s="4" t="s">
        <v>336</v>
      </c>
      <c r="G2220" s="7" t="s">
        <v>11</v>
      </c>
      <c r="H2220" s="6" t="s">
        <v>11</v>
      </c>
      <c r="I2220" s="4" t="s">
        <v>10</v>
      </c>
      <c r="J2220" s="4" t="s">
        <v>15</v>
      </c>
      <c r="K2220" s="4" t="s">
        <v>0</v>
      </c>
    </row>
    <row r="2221" spans="1:11" ht="15.75" hidden="1" customHeight="1" x14ac:dyDescent="0.2">
      <c r="B2221" s="4" t="s">
        <v>8</v>
      </c>
      <c r="C2221" s="4" t="s">
        <v>228</v>
      </c>
      <c r="D2221" s="4" t="s">
        <v>36</v>
      </c>
      <c r="E2221" s="4" t="s">
        <v>159</v>
      </c>
      <c r="F2221" s="4" t="s">
        <v>335</v>
      </c>
      <c r="G2221" s="4" t="s">
        <v>289</v>
      </c>
      <c r="H2221" s="6" t="s">
        <v>272</v>
      </c>
      <c r="I2221" s="4" t="s">
        <v>292</v>
      </c>
      <c r="J2221" s="4" t="s">
        <v>334</v>
      </c>
      <c r="K2221" s="4" t="s">
        <v>279</v>
      </c>
    </row>
    <row r="2222" spans="1:11" ht="15.75" customHeight="1" x14ac:dyDescent="0.2">
      <c r="A2222" s="1">
        <v>256</v>
      </c>
      <c r="B2222" s="4" t="s">
        <v>8</v>
      </c>
      <c r="C2222" s="4" t="s">
        <v>228</v>
      </c>
      <c r="D2222" s="4" t="s">
        <v>36</v>
      </c>
      <c r="E2222" s="4" t="s">
        <v>55</v>
      </c>
      <c r="F2222" s="4" t="s">
        <v>333</v>
      </c>
      <c r="G2222" s="7" t="str">
        <f>HYPERLINK("https://timesofindia.indiatimes.com/city/bengaluru/angry-sr-citizen-pumps-3-pellets-into-Street-dog/articleshow/72014016.cms","News")</f>
        <v>News</v>
      </c>
      <c r="H2222" s="6" t="s">
        <v>3</v>
      </c>
      <c r="I2222" s="4" t="s">
        <v>10</v>
      </c>
      <c r="J2222" s="4" t="s">
        <v>15</v>
      </c>
      <c r="K2222" s="4" t="s">
        <v>0</v>
      </c>
    </row>
    <row r="2223" spans="1:11" ht="15.75" customHeight="1" x14ac:dyDescent="0.2">
      <c r="A2223" s="1">
        <v>257</v>
      </c>
      <c r="B2223" s="4" t="s">
        <v>8</v>
      </c>
      <c r="C2223" s="4" t="s">
        <v>332</v>
      </c>
      <c r="D2223" s="4" t="s">
        <v>66</v>
      </c>
      <c r="E2223" s="4" t="s">
        <v>23</v>
      </c>
      <c r="F2223" s="4" t="s">
        <v>331</v>
      </c>
      <c r="G2223" s="7" t="s">
        <v>3</v>
      </c>
      <c r="H2223" s="6" t="s">
        <v>3</v>
      </c>
      <c r="I2223" s="4" t="s">
        <v>10</v>
      </c>
      <c r="J2223" s="4" t="s">
        <v>20</v>
      </c>
      <c r="K2223" s="4" t="s">
        <v>75</v>
      </c>
    </row>
    <row r="2224" spans="1:11" ht="15.75" hidden="1" customHeight="1" x14ac:dyDescent="0.2">
      <c r="B2224" s="4" t="s">
        <v>8</v>
      </c>
      <c r="C2224" s="4" t="s">
        <v>228</v>
      </c>
      <c r="D2224" s="4" t="s">
        <v>36</v>
      </c>
      <c r="E2224" s="4" t="s">
        <v>17</v>
      </c>
      <c r="F2224" s="4" t="s">
        <v>330</v>
      </c>
      <c r="G2224" s="4" t="s">
        <v>329</v>
      </c>
      <c r="H2224" s="6" t="s">
        <v>272</v>
      </c>
      <c r="I2224" s="4" t="s">
        <v>10</v>
      </c>
      <c r="J2224" s="4" t="s">
        <v>20</v>
      </c>
      <c r="K2224" s="4" t="s">
        <v>0</v>
      </c>
    </row>
    <row r="2225" spans="1:11" ht="15.75" hidden="1" customHeight="1" x14ac:dyDescent="0.2">
      <c r="B2225" s="4" t="s">
        <v>8</v>
      </c>
      <c r="C2225" s="4" t="s">
        <v>271</v>
      </c>
      <c r="D2225" s="4" t="s">
        <v>94</v>
      </c>
      <c r="E2225" s="4" t="s">
        <v>17</v>
      </c>
      <c r="F2225" s="4" t="s">
        <v>328</v>
      </c>
      <c r="G2225" s="7" t="s">
        <v>11</v>
      </c>
      <c r="H2225" s="6" t="s">
        <v>11</v>
      </c>
      <c r="I2225" s="4" t="s">
        <v>2</v>
      </c>
      <c r="J2225" s="4" t="s">
        <v>15</v>
      </c>
      <c r="K2225" s="4" t="s">
        <v>0</v>
      </c>
    </row>
    <row r="2226" spans="1:11" ht="15.75" customHeight="1" x14ac:dyDescent="0.2">
      <c r="A2226" s="1">
        <v>258</v>
      </c>
      <c r="B2226" s="4" t="s">
        <v>8</v>
      </c>
      <c r="C2226" s="4" t="s">
        <v>89</v>
      </c>
      <c r="D2226" s="4" t="s">
        <v>88</v>
      </c>
      <c r="E2226" s="4" t="s">
        <v>55</v>
      </c>
      <c r="F2226" s="4" t="s">
        <v>327</v>
      </c>
      <c r="G2226" s="7" t="str">
        <f>HYPERLINK("https://timesofindia.indiatimes.com/city/kolkata/6-dogs-electrocuted-in-netaji-nagar/articleshow/72062907.cms","News")</f>
        <v>News</v>
      </c>
      <c r="H2226" s="6" t="s">
        <v>3</v>
      </c>
      <c r="I2226" s="4" t="s">
        <v>10</v>
      </c>
      <c r="J2226" s="4" t="s">
        <v>20</v>
      </c>
      <c r="K2226" s="4" t="s">
        <v>0</v>
      </c>
    </row>
    <row r="2227" spans="1:11" ht="15.75" customHeight="1" x14ac:dyDescent="0.2">
      <c r="A2227" s="1">
        <v>259</v>
      </c>
      <c r="B2227" s="4" t="s">
        <v>8</v>
      </c>
      <c r="C2227" s="4" t="s">
        <v>104</v>
      </c>
      <c r="D2227" s="4" t="s">
        <v>18</v>
      </c>
      <c r="E2227" s="4" t="s">
        <v>55</v>
      </c>
      <c r="F2227" s="4" t="s">
        <v>326</v>
      </c>
      <c r="G2227" s="7" t="str">
        <f>HYPERLINK("https://timesofindia.indiatimes.com/city/mumbai/mumbai-guard-booked-for-beating-dog-to-death/articleshow/72134646.cms","News")</f>
        <v>News</v>
      </c>
      <c r="H2227" s="6" t="s">
        <v>3</v>
      </c>
      <c r="I2227" s="4" t="s">
        <v>10</v>
      </c>
      <c r="J2227" s="4" t="s">
        <v>20</v>
      </c>
      <c r="K2227" s="4" t="s">
        <v>0</v>
      </c>
    </row>
    <row r="2228" spans="1:11" ht="15.75" hidden="1" customHeight="1" x14ac:dyDescent="0.2">
      <c r="B2228" s="4" t="s">
        <v>8</v>
      </c>
      <c r="C2228" s="4" t="s">
        <v>325</v>
      </c>
      <c r="D2228" s="4" t="s">
        <v>18</v>
      </c>
      <c r="E2228" s="4" t="s">
        <v>27</v>
      </c>
      <c r="F2228" s="4" t="s">
        <v>324</v>
      </c>
      <c r="G2228" s="7" t="str">
        <f>HYPERLINK("https://www.facebook.com/permalink.php?story_fbid=2167512380209417&amp;id=100008520279478","Social media")</f>
        <v>Social media</v>
      </c>
      <c r="H2228" s="6" t="s">
        <v>11</v>
      </c>
      <c r="I2228" s="4" t="s">
        <v>10</v>
      </c>
      <c r="J2228" s="4" t="s">
        <v>20</v>
      </c>
      <c r="K2228" s="4" t="s">
        <v>0</v>
      </c>
    </row>
    <row r="2229" spans="1:11" ht="15.75" hidden="1" customHeight="1" x14ac:dyDescent="0.2">
      <c r="B2229" s="4" t="s">
        <v>8</v>
      </c>
      <c r="C2229" s="4"/>
      <c r="D2229" s="4" t="s">
        <v>18</v>
      </c>
      <c r="E2229" s="4" t="s">
        <v>159</v>
      </c>
      <c r="F2229" s="4" t="s">
        <v>323</v>
      </c>
      <c r="G2229" s="7" t="s">
        <v>11</v>
      </c>
      <c r="H2229" s="6" t="s">
        <v>11</v>
      </c>
      <c r="I2229" s="4" t="s">
        <v>10</v>
      </c>
      <c r="J2229" s="4" t="s">
        <v>15</v>
      </c>
      <c r="K2229" s="4" t="s">
        <v>75</v>
      </c>
    </row>
    <row r="2230" spans="1:11" ht="15.75" hidden="1" customHeight="1" x14ac:dyDescent="0.2">
      <c r="B2230" s="4" t="s">
        <v>8</v>
      </c>
      <c r="C2230" s="4"/>
      <c r="D2230" s="4" t="s">
        <v>18</v>
      </c>
      <c r="E2230" s="4" t="s">
        <v>17</v>
      </c>
      <c r="F2230" s="4" t="s">
        <v>322</v>
      </c>
      <c r="G2230" s="7" t="s">
        <v>11</v>
      </c>
      <c r="H2230" s="6" t="s">
        <v>11</v>
      </c>
      <c r="I2230" s="4" t="s">
        <v>10</v>
      </c>
      <c r="J2230" s="4" t="s">
        <v>15</v>
      </c>
      <c r="K2230" s="4" t="s">
        <v>75</v>
      </c>
    </row>
    <row r="2231" spans="1:11" ht="15.75" hidden="1" customHeight="1" x14ac:dyDescent="0.2">
      <c r="B2231" s="4" t="s">
        <v>8</v>
      </c>
      <c r="C2231" s="4" t="s">
        <v>321</v>
      </c>
      <c r="D2231" s="4" t="s">
        <v>42</v>
      </c>
      <c r="E2231" s="4" t="s">
        <v>17</v>
      </c>
      <c r="F2231" s="4" t="s">
        <v>320</v>
      </c>
      <c r="G2231" s="7" t="s">
        <v>11</v>
      </c>
      <c r="H2231" s="6" t="s">
        <v>11</v>
      </c>
      <c r="I2231" s="4" t="s">
        <v>10</v>
      </c>
      <c r="J2231" s="4" t="s">
        <v>15</v>
      </c>
      <c r="K2231" s="4" t="s">
        <v>0</v>
      </c>
    </row>
    <row r="2232" spans="1:11" ht="15.75" hidden="1" customHeight="1" x14ac:dyDescent="0.2">
      <c r="B2232" s="4" t="s">
        <v>8</v>
      </c>
      <c r="C2232" s="4" t="s">
        <v>228</v>
      </c>
      <c r="D2232" s="4" t="s">
        <v>36</v>
      </c>
      <c r="E2232" s="4" t="s">
        <v>159</v>
      </c>
      <c r="F2232" s="4" t="s">
        <v>319</v>
      </c>
      <c r="G2232" s="4" t="s">
        <v>289</v>
      </c>
      <c r="H2232" s="6" t="s">
        <v>272</v>
      </c>
      <c r="I2232" s="4" t="s">
        <v>21</v>
      </c>
      <c r="J2232" s="4" t="s">
        <v>50</v>
      </c>
      <c r="K2232" s="4" t="s">
        <v>288</v>
      </c>
    </row>
    <row r="2233" spans="1:11" ht="15.75" hidden="1" customHeight="1" x14ac:dyDescent="0.2">
      <c r="B2233" s="4" t="s">
        <v>8</v>
      </c>
      <c r="C2233" s="4" t="s">
        <v>318</v>
      </c>
      <c r="D2233" s="4" t="s">
        <v>317</v>
      </c>
      <c r="E2233" s="4" t="s">
        <v>5</v>
      </c>
      <c r="F2233" s="4" t="s">
        <v>316</v>
      </c>
      <c r="G2233" s="7" t="s">
        <v>11</v>
      </c>
      <c r="H2233" s="6" t="s">
        <v>11</v>
      </c>
      <c r="I2233" s="4" t="s">
        <v>2</v>
      </c>
      <c r="J2233" s="4" t="s">
        <v>1</v>
      </c>
      <c r="K2233" s="4" t="s">
        <v>0</v>
      </c>
    </row>
    <row r="2234" spans="1:11" ht="15.75" hidden="1" customHeight="1" x14ac:dyDescent="0.2">
      <c r="B2234" s="4" t="s">
        <v>8</v>
      </c>
      <c r="C2234" s="4"/>
      <c r="D2234" s="4" t="s">
        <v>236</v>
      </c>
      <c r="E2234" s="4" t="s">
        <v>17</v>
      </c>
      <c r="F2234" s="4" t="s">
        <v>315</v>
      </c>
      <c r="G2234" s="7" t="str">
        <f>HYPERLINK("https://www.facebook.com/wag.india/posts/1316821395167579","Social media")</f>
        <v>Social media</v>
      </c>
      <c r="H2234" s="6" t="s">
        <v>11</v>
      </c>
      <c r="I2234" s="4" t="s">
        <v>10</v>
      </c>
      <c r="J2234" s="4" t="s">
        <v>15</v>
      </c>
      <c r="K2234" s="4" t="s">
        <v>0</v>
      </c>
    </row>
    <row r="2235" spans="1:11" ht="15.75" hidden="1" customHeight="1" x14ac:dyDescent="0.2">
      <c r="B2235" s="4" t="s">
        <v>8</v>
      </c>
      <c r="C2235" s="4" t="s">
        <v>228</v>
      </c>
      <c r="D2235" s="4" t="s">
        <v>36</v>
      </c>
      <c r="E2235" s="4" t="s">
        <v>23</v>
      </c>
      <c r="F2235" s="4" t="s">
        <v>314</v>
      </c>
      <c r="G2235" s="7" t="str">
        <f>HYPERLINK("https://www.facebook.com/watch/?v=1048082638863569","Social media")</f>
        <v>Social media</v>
      </c>
      <c r="H2235" s="6" t="s">
        <v>11</v>
      </c>
      <c r="I2235" s="4" t="s">
        <v>10</v>
      </c>
      <c r="J2235" s="4" t="s">
        <v>20</v>
      </c>
      <c r="K2235" s="4" t="s">
        <v>0</v>
      </c>
    </row>
    <row r="2236" spans="1:11" ht="15.75" customHeight="1" x14ac:dyDescent="0.2">
      <c r="A2236" s="1">
        <v>260</v>
      </c>
      <c r="B2236" s="4" t="s">
        <v>8</v>
      </c>
      <c r="C2236" s="4" t="s">
        <v>313</v>
      </c>
      <c r="D2236" s="4" t="s">
        <v>42</v>
      </c>
      <c r="E2236" s="4" t="s">
        <v>81</v>
      </c>
      <c r="F2236" s="4" t="s">
        <v>312</v>
      </c>
      <c r="G2236" s="7" t="s">
        <v>3</v>
      </c>
      <c r="H2236" s="6" t="s">
        <v>3</v>
      </c>
      <c r="I2236" s="4" t="s">
        <v>2</v>
      </c>
      <c r="J2236" s="4" t="s">
        <v>20</v>
      </c>
      <c r="K2236" s="4" t="s">
        <v>0</v>
      </c>
    </row>
    <row r="2237" spans="1:11" ht="15.75" hidden="1" customHeight="1" x14ac:dyDescent="0.2">
      <c r="B2237" s="4" t="s">
        <v>8</v>
      </c>
      <c r="C2237" s="4" t="s">
        <v>311</v>
      </c>
      <c r="D2237" s="4" t="s">
        <v>236</v>
      </c>
      <c r="E2237" s="4" t="s">
        <v>159</v>
      </c>
      <c r="F2237" s="4" t="s">
        <v>310</v>
      </c>
      <c r="G2237" s="7" t="str">
        <f>HYPERLINK("https://www.facebook.com/groups/1667058386874380/permalink/2551439721769571/","Social media")</f>
        <v>Social media</v>
      </c>
      <c r="H2237" s="6" t="s">
        <v>11</v>
      </c>
      <c r="I2237" s="4" t="s">
        <v>10</v>
      </c>
      <c r="J2237" s="4" t="s">
        <v>215</v>
      </c>
      <c r="K2237" s="4" t="s">
        <v>0</v>
      </c>
    </row>
    <row r="2238" spans="1:11" ht="15.75" customHeight="1" x14ac:dyDescent="0.2">
      <c r="A2238" s="1">
        <v>261</v>
      </c>
      <c r="B2238" s="4" t="s">
        <v>8</v>
      </c>
      <c r="C2238" s="4" t="s">
        <v>309</v>
      </c>
      <c r="D2238" s="4" t="s">
        <v>221</v>
      </c>
      <c r="E2238" s="4" t="s">
        <v>55</v>
      </c>
      <c r="F2238" s="4" t="s">
        <v>308</v>
      </c>
      <c r="G2238" s="7" t="s">
        <v>3</v>
      </c>
      <c r="H2238" s="6" t="s">
        <v>3</v>
      </c>
      <c r="I2238" s="4" t="s">
        <v>305</v>
      </c>
      <c r="J2238" s="4" t="s">
        <v>304</v>
      </c>
      <c r="K2238" s="4" t="s">
        <v>33</v>
      </c>
    </row>
    <row r="2239" spans="1:11" ht="15.75" customHeight="1" x14ac:dyDescent="0.2">
      <c r="A2239" s="1">
        <v>262</v>
      </c>
      <c r="B2239" s="4" t="s">
        <v>8</v>
      </c>
      <c r="C2239" s="4" t="s">
        <v>307</v>
      </c>
      <c r="D2239" s="4" t="s">
        <v>221</v>
      </c>
      <c r="E2239" s="4" t="s">
        <v>55</v>
      </c>
      <c r="F2239" s="4" t="s">
        <v>306</v>
      </c>
      <c r="G2239" s="7" t="s">
        <v>3</v>
      </c>
      <c r="H2239" s="6" t="s">
        <v>3</v>
      </c>
      <c r="I2239" s="4" t="s">
        <v>305</v>
      </c>
      <c r="J2239" s="4" t="s">
        <v>304</v>
      </c>
      <c r="K2239" s="4" t="s">
        <v>33</v>
      </c>
    </row>
    <row r="2240" spans="1:11" ht="15.75" hidden="1" customHeight="1" x14ac:dyDescent="0.2">
      <c r="B2240" s="4" t="s">
        <v>8</v>
      </c>
      <c r="C2240" s="4" t="s">
        <v>130</v>
      </c>
      <c r="D2240" s="4" t="s">
        <v>77</v>
      </c>
      <c r="E2240" s="4" t="s">
        <v>17</v>
      </c>
      <c r="F2240" s="4" t="s">
        <v>303</v>
      </c>
      <c r="G2240" s="7" t="s">
        <v>11</v>
      </c>
      <c r="H2240" s="6" t="s">
        <v>11</v>
      </c>
      <c r="I2240" s="4" t="s">
        <v>10</v>
      </c>
      <c r="J2240" s="4" t="s">
        <v>15</v>
      </c>
      <c r="K2240" s="4" t="s">
        <v>0</v>
      </c>
    </row>
    <row r="2241" spans="1:11" ht="15.75" hidden="1" customHeight="1" x14ac:dyDescent="0.2">
      <c r="B2241" s="4" t="s">
        <v>8</v>
      </c>
      <c r="C2241" s="4" t="s">
        <v>228</v>
      </c>
      <c r="D2241" s="4" t="s">
        <v>36</v>
      </c>
      <c r="E2241" s="4" t="s">
        <v>17</v>
      </c>
      <c r="F2241" s="4" t="s">
        <v>302</v>
      </c>
      <c r="G2241" s="7" t="str">
        <f>HYPERLINK("https://www.facebook.com/TheCJMemorialTrust/posts/1839122176231464","Social media")</f>
        <v>Social media</v>
      </c>
      <c r="H2241" s="6" t="s">
        <v>11</v>
      </c>
      <c r="I2241" s="4" t="s">
        <v>10</v>
      </c>
      <c r="J2241" s="4" t="s">
        <v>15</v>
      </c>
      <c r="K2241" s="4" t="s">
        <v>0</v>
      </c>
    </row>
    <row r="2242" spans="1:11" ht="15.75" customHeight="1" x14ac:dyDescent="0.2">
      <c r="A2242" s="1">
        <v>263</v>
      </c>
      <c r="B2242" s="4" t="s">
        <v>8</v>
      </c>
      <c r="C2242" s="4" t="s">
        <v>72</v>
      </c>
      <c r="D2242" s="4" t="s">
        <v>71</v>
      </c>
      <c r="E2242" s="4" t="s">
        <v>5</v>
      </c>
      <c r="F2242" s="4" t="s">
        <v>301</v>
      </c>
      <c r="G2242" s="7" t="s">
        <v>3</v>
      </c>
      <c r="H2242" s="6" t="s">
        <v>3</v>
      </c>
      <c r="I2242" s="4" t="s">
        <v>10</v>
      </c>
      <c r="J2242" s="4" t="s">
        <v>15</v>
      </c>
      <c r="K2242" s="4" t="s">
        <v>0</v>
      </c>
    </row>
    <row r="2243" spans="1:11" ht="15.75" customHeight="1" x14ac:dyDescent="0.2">
      <c r="A2243" s="1">
        <v>264</v>
      </c>
      <c r="B2243" s="4" t="s">
        <v>8</v>
      </c>
      <c r="C2243" s="4" t="s">
        <v>130</v>
      </c>
      <c r="D2243" s="4" t="s">
        <v>77</v>
      </c>
      <c r="E2243" s="4" t="s">
        <v>81</v>
      </c>
      <c r="F2243" s="4" t="s">
        <v>300</v>
      </c>
      <c r="G2243" s="7" t="str">
        <f>HYPERLINK("https://timesofindia.indiatimes.com/city/chennai/man-arrested-for-indulging-in-unnatural-sex-with-cow/articleshow/72493246.cms","News")</f>
        <v>News</v>
      </c>
      <c r="H2243" s="6" t="s">
        <v>3</v>
      </c>
      <c r="I2243" s="4" t="s">
        <v>109</v>
      </c>
      <c r="J2243" s="4" t="s">
        <v>82</v>
      </c>
      <c r="K2243" s="4" t="s">
        <v>57</v>
      </c>
    </row>
    <row r="2244" spans="1:11" ht="15.75" hidden="1" customHeight="1" x14ac:dyDescent="0.2">
      <c r="B2244" s="4" t="s">
        <v>8</v>
      </c>
      <c r="C2244" s="4" t="s">
        <v>299</v>
      </c>
      <c r="D2244" s="4" t="s">
        <v>28</v>
      </c>
      <c r="E2244" s="4" t="s">
        <v>17</v>
      </c>
      <c r="F2244" s="4" t="s">
        <v>298</v>
      </c>
      <c r="G2244" s="7" t="s">
        <v>11</v>
      </c>
      <c r="H2244" s="6" t="s">
        <v>11</v>
      </c>
      <c r="I2244" s="4" t="s">
        <v>10</v>
      </c>
      <c r="J2244" s="4" t="s">
        <v>15</v>
      </c>
      <c r="K2244" s="4" t="s">
        <v>0</v>
      </c>
    </row>
    <row r="2245" spans="1:11" ht="15.75" hidden="1" customHeight="1" x14ac:dyDescent="0.2">
      <c r="B2245" s="4" t="s">
        <v>8</v>
      </c>
      <c r="C2245" s="4" t="s">
        <v>228</v>
      </c>
      <c r="D2245" s="4" t="s">
        <v>36</v>
      </c>
      <c r="E2245" s="4" t="s">
        <v>159</v>
      </c>
      <c r="F2245" s="4" t="s">
        <v>297</v>
      </c>
      <c r="G2245" s="4" t="s">
        <v>289</v>
      </c>
      <c r="H2245" s="6" t="s">
        <v>272</v>
      </c>
      <c r="I2245" s="4" t="s">
        <v>292</v>
      </c>
      <c r="J2245" s="4" t="s">
        <v>50</v>
      </c>
      <c r="K2245" s="4" t="s">
        <v>279</v>
      </c>
    </row>
    <row r="2246" spans="1:11" ht="15.75" hidden="1" customHeight="1" x14ac:dyDescent="0.2">
      <c r="B2246" s="4" t="s">
        <v>8</v>
      </c>
      <c r="C2246" s="4" t="s">
        <v>228</v>
      </c>
      <c r="D2246" s="4" t="s">
        <v>36</v>
      </c>
      <c r="E2246" s="4" t="s">
        <v>159</v>
      </c>
      <c r="F2246" s="4" t="s">
        <v>296</v>
      </c>
      <c r="G2246" s="4" t="s">
        <v>289</v>
      </c>
      <c r="H2246" s="6" t="s">
        <v>272</v>
      </c>
      <c r="I2246" s="4" t="s">
        <v>292</v>
      </c>
      <c r="J2246" s="4" t="s">
        <v>50</v>
      </c>
      <c r="K2246" s="4" t="s">
        <v>295</v>
      </c>
    </row>
    <row r="2247" spans="1:11" ht="15.75" hidden="1" customHeight="1" x14ac:dyDescent="0.2">
      <c r="B2247" s="4" t="s">
        <v>8</v>
      </c>
      <c r="C2247" s="4" t="s">
        <v>150</v>
      </c>
      <c r="D2247" s="4" t="s">
        <v>150</v>
      </c>
      <c r="E2247" s="4" t="s">
        <v>17</v>
      </c>
      <c r="F2247" s="4" t="s">
        <v>294</v>
      </c>
      <c r="G2247" s="7" t="s">
        <v>11</v>
      </c>
      <c r="H2247" s="6" t="s">
        <v>11</v>
      </c>
      <c r="I2247" s="4" t="s">
        <v>10</v>
      </c>
      <c r="J2247" s="4" t="s">
        <v>15</v>
      </c>
      <c r="K2247" s="4" t="s">
        <v>0</v>
      </c>
    </row>
    <row r="2248" spans="1:11" ht="15.75" hidden="1" customHeight="1" x14ac:dyDescent="0.2">
      <c r="B2248" s="4" t="s">
        <v>8</v>
      </c>
      <c r="C2248" s="4" t="s">
        <v>228</v>
      </c>
      <c r="D2248" s="4" t="s">
        <v>36</v>
      </c>
      <c r="E2248" s="4" t="s">
        <v>159</v>
      </c>
      <c r="F2248" s="4" t="s">
        <v>293</v>
      </c>
      <c r="G2248" s="4" t="s">
        <v>289</v>
      </c>
      <c r="H2248" s="6" t="s">
        <v>272</v>
      </c>
      <c r="I2248" s="4" t="s">
        <v>292</v>
      </c>
      <c r="J2248" s="4" t="s">
        <v>50</v>
      </c>
      <c r="K2248" s="4" t="s">
        <v>280</v>
      </c>
    </row>
    <row r="2249" spans="1:11" ht="15.75" customHeight="1" x14ac:dyDescent="0.2">
      <c r="A2249" s="1">
        <v>265</v>
      </c>
      <c r="B2249" s="4" t="s">
        <v>8</v>
      </c>
      <c r="C2249" s="4" t="s">
        <v>98</v>
      </c>
      <c r="D2249" s="4" t="s">
        <v>97</v>
      </c>
      <c r="E2249" s="4" t="s">
        <v>23</v>
      </c>
      <c r="F2249" s="4" t="s">
        <v>291</v>
      </c>
      <c r="G2249" s="7" t="s">
        <v>3</v>
      </c>
      <c r="H2249" s="6" t="s">
        <v>3</v>
      </c>
      <c r="I2249" s="4" t="s">
        <v>2</v>
      </c>
      <c r="J2249" s="4" t="s">
        <v>15</v>
      </c>
      <c r="K2249" s="4" t="s">
        <v>75</v>
      </c>
    </row>
    <row r="2250" spans="1:11" ht="15.75" hidden="1" customHeight="1" x14ac:dyDescent="0.2">
      <c r="B2250" s="4" t="s">
        <v>8</v>
      </c>
      <c r="C2250" s="4" t="s">
        <v>228</v>
      </c>
      <c r="D2250" s="4" t="s">
        <v>36</v>
      </c>
      <c r="E2250" s="4" t="s">
        <v>159</v>
      </c>
      <c r="F2250" s="4" t="s">
        <v>290</v>
      </c>
      <c r="G2250" s="4" t="s">
        <v>289</v>
      </c>
      <c r="H2250" s="6" t="s">
        <v>272</v>
      </c>
      <c r="I2250" s="4" t="s">
        <v>21</v>
      </c>
      <c r="J2250" s="4" t="s">
        <v>50</v>
      </c>
      <c r="K2250" s="4" t="s">
        <v>288</v>
      </c>
    </row>
    <row r="2251" spans="1:11" ht="15.75" hidden="1" customHeight="1" x14ac:dyDescent="0.2">
      <c r="B2251" s="4" t="s">
        <v>8</v>
      </c>
      <c r="C2251" s="4" t="s">
        <v>287</v>
      </c>
      <c r="D2251" s="4" t="s">
        <v>236</v>
      </c>
      <c r="E2251" s="4" t="s">
        <v>17</v>
      </c>
      <c r="F2251" s="4" t="s">
        <v>286</v>
      </c>
      <c r="G2251" s="7" t="str">
        <f>HYPERLINK("https://www.facebook.com/pfavasco/posts/2798323750218820","Social media")</f>
        <v>Social media</v>
      </c>
      <c r="H2251" s="6" t="s">
        <v>11</v>
      </c>
      <c r="I2251" s="4" t="s">
        <v>2</v>
      </c>
      <c r="J2251" s="4" t="s">
        <v>15</v>
      </c>
      <c r="K2251" s="4" t="s">
        <v>0</v>
      </c>
    </row>
    <row r="2252" spans="1:11" ht="15.75" hidden="1" customHeight="1" x14ac:dyDescent="0.2">
      <c r="B2252" s="4" t="s">
        <v>8</v>
      </c>
      <c r="C2252" s="4" t="s">
        <v>285</v>
      </c>
      <c r="D2252" s="4" t="s">
        <v>236</v>
      </c>
      <c r="E2252" s="4" t="s">
        <v>17</v>
      </c>
      <c r="F2252" s="4" t="s">
        <v>284</v>
      </c>
      <c r="G2252" s="7" t="str">
        <f>HYPERLINK("https://www.facebook.com/groups/goapetlife/permalink/2177016209064996/","Social media")</f>
        <v>Social media</v>
      </c>
      <c r="H2252" s="6" t="s">
        <v>11</v>
      </c>
      <c r="I2252" s="4" t="s">
        <v>10</v>
      </c>
      <c r="J2252" s="4" t="s">
        <v>15</v>
      </c>
      <c r="K2252" s="4" t="s">
        <v>0</v>
      </c>
    </row>
    <row r="2253" spans="1:11" ht="15.75" hidden="1" customHeight="1" x14ac:dyDescent="0.2">
      <c r="B2253" s="4" t="s">
        <v>8</v>
      </c>
      <c r="C2253" s="4" t="s">
        <v>89</v>
      </c>
      <c r="D2253" s="4" t="s">
        <v>88</v>
      </c>
      <c r="E2253" s="4" t="s">
        <v>17</v>
      </c>
      <c r="F2253" s="4" t="s">
        <v>283</v>
      </c>
      <c r="G2253" s="7" t="s">
        <v>11</v>
      </c>
      <c r="H2253" s="6" t="s">
        <v>11</v>
      </c>
      <c r="I2253" s="4" t="s">
        <v>10</v>
      </c>
      <c r="J2253" s="4" t="s">
        <v>15</v>
      </c>
      <c r="K2253" s="4" t="s">
        <v>0</v>
      </c>
    </row>
    <row r="2254" spans="1:11" ht="15.75" customHeight="1" x14ac:dyDescent="0.2">
      <c r="A2254" s="1">
        <v>266</v>
      </c>
      <c r="B2254" s="4" t="s">
        <v>8</v>
      </c>
      <c r="C2254" s="4" t="s">
        <v>228</v>
      </c>
      <c r="D2254" s="4" t="s">
        <v>36</v>
      </c>
      <c r="E2254" s="4" t="s">
        <v>23</v>
      </c>
      <c r="F2254" s="4" t="s">
        <v>282</v>
      </c>
      <c r="G2254" s="7" t="s">
        <v>3</v>
      </c>
      <c r="H2254" s="6" t="s">
        <v>3</v>
      </c>
      <c r="I2254" s="4" t="s">
        <v>281</v>
      </c>
      <c r="J2254" s="4" t="s">
        <v>50</v>
      </c>
      <c r="K2254" s="4" t="s">
        <v>280</v>
      </c>
    </row>
    <row r="2255" spans="1:11" ht="15.75" hidden="1" customHeight="1" x14ac:dyDescent="0.2">
      <c r="B2255" s="4" t="s">
        <v>8</v>
      </c>
      <c r="C2255" s="4" t="s">
        <v>278</v>
      </c>
      <c r="D2255" s="4" t="s">
        <v>236</v>
      </c>
      <c r="E2255" s="4" t="s">
        <v>17</v>
      </c>
      <c r="F2255" s="4" t="s">
        <v>277</v>
      </c>
      <c r="G2255" s="7" t="str">
        <f>HYPERLINK("https://www.facebook.com/groups/goapetlife/permalink/2191920684241215/","Social media")</f>
        <v>Social media</v>
      </c>
      <c r="H2255" s="6" t="s">
        <v>11</v>
      </c>
      <c r="I2255" s="4" t="s">
        <v>10</v>
      </c>
      <c r="J2255" s="4" t="s">
        <v>15</v>
      </c>
      <c r="K2255" s="4" t="s">
        <v>0</v>
      </c>
    </row>
    <row r="2256" spans="1:11" ht="15.75" hidden="1" customHeight="1" x14ac:dyDescent="0.2">
      <c r="B2256" s="4" t="s">
        <v>8</v>
      </c>
      <c r="C2256" s="4" t="s">
        <v>132</v>
      </c>
      <c r="D2256" s="4" t="s">
        <v>97</v>
      </c>
      <c r="E2256" s="4" t="s">
        <v>5</v>
      </c>
      <c r="F2256" s="4" t="s">
        <v>276</v>
      </c>
      <c r="G2256" s="7" t="s">
        <v>11</v>
      </c>
      <c r="H2256" s="6" t="s">
        <v>11</v>
      </c>
      <c r="I2256" s="4" t="s">
        <v>197</v>
      </c>
      <c r="J2256" s="4" t="s">
        <v>196</v>
      </c>
      <c r="K2256" s="4" t="s">
        <v>57</v>
      </c>
    </row>
    <row r="2257" spans="1:11" ht="15.75" customHeight="1" x14ac:dyDescent="0.2">
      <c r="A2257" s="1">
        <v>267</v>
      </c>
      <c r="B2257" s="4" t="s">
        <v>8</v>
      </c>
      <c r="C2257" s="4" t="s">
        <v>63</v>
      </c>
      <c r="D2257" s="4" t="s">
        <v>62</v>
      </c>
      <c r="E2257" s="4" t="s">
        <v>17</v>
      </c>
      <c r="F2257" s="4" t="s">
        <v>275</v>
      </c>
      <c r="G2257" s="7" t="s">
        <v>3</v>
      </c>
      <c r="H2257" s="6" t="s">
        <v>3</v>
      </c>
      <c r="I2257" s="4" t="s">
        <v>86</v>
      </c>
      <c r="J2257" s="4" t="s">
        <v>20</v>
      </c>
      <c r="K2257" s="4" t="s">
        <v>45</v>
      </c>
    </row>
    <row r="2258" spans="1:11" ht="15.75" hidden="1" customHeight="1" x14ac:dyDescent="0.2">
      <c r="B2258" s="4" t="s">
        <v>8</v>
      </c>
      <c r="C2258" s="4" t="s">
        <v>228</v>
      </c>
      <c r="D2258" s="4" t="s">
        <v>36</v>
      </c>
      <c r="E2258" s="4" t="s">
        <v>23</v>
      </c>
      <c r="F2258" s="4" t="s">
        <v>274</v>
      </c>
      <c r="G2258" s="4" t="s">
        <v>273</v>
      </c>
      <c r="H2258" s="6" t="s">
        <v>272</v>
      </c>
      <c r="I2258" s="4" t="s">
        <v>2</v>
      </c>
      <c r="J2258" s="4" t="s">
        <v>15</v>
      </c>
      <c r="K2258" s="4" t="s">
        <v>0</v>
      </c>
    </row>
    <row r="2259" spans="1:11" ht="15.75" hidden="1" customHeight="1" x14ac:dyDescent="0.2">
      <c r="B2259" s="4" t="s">
        <v>8</v>
      </c>
      <c r="C2259" s="4" t="s">
        <v>271</v>
      </c>
      <c r="D2259" s="4" t="s">
        <v>94</v>
      </c>
      <c r="E2259" s="4" t="s">
        <v>17</v>
      </c>
      <c r="F2259" s="4" t="s">
        <v>270</v>
      </c>
      <c r="G2259" s="7" t="s">
        <v>11</v>
      </c>
      <c r="H2259" s="6" t="s">
        <v>11</v>
      </c>
      <c r="I2259" s="4" t="s">
        <v>10</v>
      </c>
      <c r="J2259" s="4" t="s">
        <v>15</v>
      </c>
      <c r="K2259" s="4" t="s">
        <v>0</v>
      </c>
    </row>
    <row r="2260" spans="1:11" ht="15.75" hidden="1" customHeight="1" x14ac:dyDescent="0.2">
      <c r="B2260" s="4" t="s">
        <v>8</v>
      </c>
      <c r="C2260" s="4"/>
      <c r="D2260" s="4" t="s">
        <v>77</v>
      </c>
      <c r="E2260" s="4" t="s">
        <v>159</v>
      </c>
      <c r="F2260" s="4" t="s">
        <v>269</v>
      </c>
      <c r="G2260" s="7" t="s">
        <v>11</v>
      </c>
      <c r="H2260" s="6" t="s">
        <v>11</v>
      </c>
      <c r="I2260" s="4" t="s">
        <v>144</v>
      </c>
      <c r="J2260" s="4" t="s">
        <v>15</v>
      </c>
      <c r="K2260" s="4" t="s">
        <v>33</v>
      </c>
    </row>
    <row r="2261" spans="1:11" ht="15.75" customHeight="1" x14ac:dyDescent="0.2">
      <c r="A2261" s="1">
        <v>268</v>
      </c>
      <c r="B2261" s="4" t="s">
        <v>8</v>
      </c>
      <c r="C2261" s="4" t="s">
        <v>268</v>
      </c>
      <c r="D2261" s="4" t="s">
        <v>267</v>
      </c>
      <c r="E2261" s="4" t="s">
        <v>23</v>
      </c>
      <c r="F2261" s="4" t="s">
        <v>266</v>
      </c>
      <c r="G2261" s="7" t="str">
        <f>HYPERLINK("https://www.newindianexpress.com/states/andhra-pradesh/2020/jan/08/two-arrested-for-raping-cows-at-vnagaram-farm-2086702.html","News")</f>
        <v>News</v>
      </c>
      <c r="H2261" s="6" t="s">
        <v>3</v>
      </c>
      <c r="I2261" s="4" t="s">
        <v>109</v>
      </c>
      <c r="J2261" s="4" t="s">
        <v>82</v>
      </c>
      <c r="K2261" s="4" t="s">
        <v>57</v>
      </c>
    </row>
    <row r="2262" spans="1:11" ht="15.75" hidden="1" customHeight="1" x14ac:dyDescent="0.2">
      <c r="B2262" s="4" t="s">
        <v>8</v>
      </c>
      <c r="C2262" s="4" t="s">
        <v>132</v>
      </c>
      <c r="D2262" s="4" t="s">
        <v>97</v>
      </c>
      <c r="E2262" s="4" t="s">
        <v>27</v>
      </c>
      <c r="F2262" s="4" t="s">
        <v>265</v>
      </c>
      <c r="G2262" s="7" t="s">
        <v>11</v>
      </c>
      <c r="H2262" s="6" t="s">
        <v>11</v>
      </c>
      <c r="I2262" s="4" t="s">
        <v>10</v>
      </c>
      <c r="J2262" s="4" t="s">
        <v>15</v>
      </c>
      <c r="K2262" s="4" t="s">
        <v>0</v>
      </c>
    </row>
    <row r="2263" spans="1:11" ht="15.75" customHeight="1" x14ac:dyDescent="0.2">
      <c r="A2263" s="1">
        <v>269</v>
      </c>
      <c r="B2263" s="4" t="s">
        <v>8</v>
      </c>
      <c r="C2263" s="4" t="s">
        <v>150</v>
      </c>
      <c r="D2263" s="4" t="s">
        <v>150</v>
      </c>
      <c r="E2263" s="4" t="s">
        <v>23</v>
      </c>
      <c r="F2263" s="4" t="s">
        <v>264</v>
      </c>
      <c r="G2263" s="7" t="s">
        <v>3</v>
      </c>
      <c r="H2263" s="6" t="s">
        <v>3</v>
      </c>
      <c r="I2263" s="4" t="s">
        <v>10</v>
      </c>
      <c r="J2263" s="4" t="s">
        <v>20</v>
      </c>
      <c r="K2263" s="4" t="s">
        <v>0</v>
      </c>
    </row>
    <row r="2264" spans="1:11" ht="15.75" hidden="1" customHeight="1" x14ac:dyDescent="0.2">
      <c r="B2264" s="4" t="s">
        <v>8</v>
      </c>
      <c r="C2264" s="4" t="s">
        <v>150</v>
      </c>
      <c r="D2264" s="4" t="s">
        <v>150</v>
      </c>
      <c r="E2264" s="4" t="s">
        <v>17</v>
      </c>
      <c r="F2264" s="4" t="s">
        <v>263</v>
      </c>
      <c r="G2264" s="7" t="s">
        <v>11</v>
      </c>
      <c r="H2264" s="6" t="s">
        <v>11</v>
      </c>
      <c r="I2264" s="4" t="s">
        <v>2</v>
      </c>
      <c r="J2264" s="4" t="s">
        <v>15</v>
      </c>
      <c r="K2264" s="4" t="s">
        <v>0</v>
      </c>
    </row>
    <row r="2265" spans="1:11" ht="15.75" hidden="1" customHeight="1" x14ac:dyDescent="0.2">
      <c r="B2265" s="4" t="s">
        <v>8</v>
      </c>
      <c r="C2265" s="4" t="s">
        <v>67</v>
      </c>
      <c r="D2265" s="4" t="s">
        <v>66</v>
      </c>
      <c r="E2265" s="4" t="s">
        <v>81</v>
      </c>
      <c r="F2265" s="4" t="s">
        <v>262</v>
      </c>
      <c r="G2265" s="7" t="str">
        <f>HYPERLINK("https://www.youtube.com/watch?v=vovg_0PGM48","Youtube")</f>
        <v>Youtube</v>
      </c>
      <c r="H2265" s="6" t="s">
        <v>3</v>
      </c>
      <c r="I2265" s="4" t="s">
        <v>109</v>
      </c>
      <c r="J2265" s="4" t="s">
        <v>82</v>
      </c>
      <c r="K2265" s="4" t="s">
        <v>57</v>
      </c>
    </row>
    <row r="2266" spans="1:11" ht="15.75" hidden="1" customHeight="1" x14ac:dyDescent="0.2">
      <c r="B2266" s="4" t="s">
        <v>8</v>
      </c>
      <c r="C2266" s="4"/>
      <c r="D2266" s="4" t="s">
        <v>236</v>
      </c>
      <c r="E2266" s="4" t="s">
        <v>17</v>
      </c>
      <c r="F2266" s="4" t="s">
        <v>261</v>
      </c>
      <c r="G2266" s="7" t="str">
        <f>HYPERLINK("https://www.facebook.com/permalink.php?story_fbid=2544934545722601&amp;id=100006182404902","Social media")</f>
        <v>Social media</v>
      </c>
      <c r="H2266" s="6" t="s">
        <v>11</v>
      </c>
      <c r="I2266" s="4" t="s">
        <v>10</v>
      </c>
      <c r="J2266" s="4" t="s">
        <v>20</v>
      </c>
      <c r="K2266" s="4" t="s">
        <v>0</v>
      </c>
    </row>
    <row r="2267" spans="1:11" ht="15.75" customHeight="1" x14ac:dyDescent="0.2">
      <c r="A2267" s="1">
        <v>270</v>
      </c>
      <c r="B2267" s="4" t="s">
        <v>8</v>
      </c>
      <c r="C2267" s="4" t="s">
        <v>228</v>
      </c>
      <c r="D2267" s="4" t="s">
        <v>36</v>
      </c>
      <c r="E2267" s="4" t="s">
        <v>27</v>
      </c>
      <c r="F2267" s="4" t="s">
        <v>260</v>
      </c>
      <c r="G2267" s="7" t="str">
        <f>HYPERLINK("https://timesofindia.indiatimes.com/city/bengaluru/youth-booked-for-smashing-dog-with-stone/articleshow/73218839.cms","News")</f>
        <v>News</v>
      </c>
      <c r="H2267" s="6" t="s">
        <v>3</v>
      </c>
      <c r="I2267" s="4" t="s">
        <v>10</v>
      </c>
      <c r="J2267" s="4" t="s">
        <v>15</v>
      </c>
      <c r="K2267" s="4" t="s">
        <v>0</v>
      </c>
    </row>
    <row r="2268" spans="1:11" ht="15.75" customHeight="1" x14ac:dyDescent="0.2">
      <c r="A2268" s="1">
        <v>271</v>
      </c>
      <c r="B2268" s="4" t="s">
        <v>8</v>
      </c>
      <c r="C2268" s="4" t="s">
        <v>259</v>
      </c>
      <c r="D2268" s="4" t="s">
        <v>236</v>
      </c>
      <c r="E2268" s="4" t="s">
        <v>23</v>
      </c>
      <c r="F2268" s="4" t="s">
        <v>258</v>
      </c>
      <c r="G2268" s="7" t="str">
        <f>HYPERLINK("https://www.timesnownews.com/mirror-now/in-focus/article/goa-three-tigers-found-dead-in-mahadayi-wildlife-sanctuary-in-four-days/537379","News")</f>
        <v>News</v>
      </c>
      <c r="H2268" s="6" t="s">
        <v>3</v>
      </c>
      <c r="I2268" s="4" t="s">
        <v>86</v>
      </c>
      <c r="J2268" s="4" t="s">
        <v>20</v>
      </c>
      <c r="K2268" s="4" t="s">
        <v>49</v>
      </c>
    </row>
    <row r="2269" spans="1:11" ht="15.75" customHeight="1" x14ac:dyDescent="0.2">
      <c r="A2269" s="1">
        <v>272</v>
      </c>
      <c r="B2269" s="4" t="s">
        <v>8</v>
      </c>
      <c r="C2269" s="4"/>
      <c r="D2269" s="4" t="s">
        <v>77</v>
      </c>
      <c r="E2269" s="4" t="s">
        <v>17</v>
      </c>
      <c r="F2269" s="4" t="s">
        <v>257</v>
      </c>
      <c r="G2269" s="7" t="s">
        <v>3</v>
      </c>
      <c r="H2269" s="6" t="s">
        <v>3</v>
      </c>
      <c r="I2269" s="4" t="s">
        <v>10</v>
      </c>
      <c r="J2269" s="4" t="s">
        <v>20</v>
      </c>
      <c r="K2269" s="4" t="s">
        <v>0</v>
      </c>
    </row>
    <row r="2270" spans="1:11" ht="15.75" customHeight="1" x14ac:dyDescent="0.2">
      <c r="A2270" s="1">
        <v>273</v>
      </c>
      <c r="B2270" s="4" t="s">
        <v>8</v>
      </c>
      <c r="C2270" s="4" t="s">
        <v>256</v>
      </c>
      <c r="D2270" s="4" t="s">
        <v>42</v>
      </c>
      <c r="E2270" s="4" t="s">
        <v>23</v>
      </c>
      <c r="F2270" s="4" t="s">
        <v>255</v>
      </c>
      <c r="G2270" s="7" t="s">
        <v>3</v>
      </c>
      <c r="H2270" s="6" t="s">
        <v>3</v>
      </c>
      <c r="I2270" s="4" t="s">
        <v>10</v>
      </c>
      <c r="J2270" s="4" t="s">
        <v>92</v>
      </c>
      <c r="K2270" s="4" t="s">
        <v>57</v>
      </c>
    </row>
    <row r="2271" spans="1:11" ht="15.75" hidden="1" customHeight="1" x14ac:dyDescent="0.2">
      <c r="B2271" s="4" t="s">
        <v>8</v>
      </c>
      <c r="C2271" s="4" t="s">
        <v>141</v>
      </c>
      <c r="D2271" s="4" t="s">
        <v>71</v>
      </c>
      <c r="E2271" s="4" t="s">
        <v>17</v>
      </c>
      <c r="F2271" s="4" t="s">
        <v>254</v>
      </c>
      <c r="G2271" s="7" t="s">
        <v>11</v>
      </c>
      <c r="H2271" s="6" t="s">
        <v>11</v>
      </c>
      <c r="I2271" s="4" t="s">
        <v>10</v>
      </c>
      <c r="J2271" s="4" t="s">
        <v>15</v>
      </c>
      <c r="K2271" s="4" t="s">
        <v>0</v>
      </c>
    </row>
    <row r="2272" spans="1:11" ht="15.75" hidden="1" customHeight="1" x14ac:dyDescent="0.2">
      <c r="B2272" s="4" t="s">
        <v>8</v>
      </c>
      <c r="C2272" s="4" t="s">
        <v>150</v>
      </c>
      <c r="D2272" s="4" t="s">
        <v>150</v>
      </c>
      <c r="E2272" s="4" t="s">
        <v>5</v>
      </c>
      <c r="F2272" s="4" t="s">
        <v>253</v>
      </c>
      <c r="G2272" s="7" t="s">
        <v>11</v>
      </c>
      <c r="H2272" s="6" t="s">
        <v>11</v>
      </c>
      <c r="I2272" s="4" t="s">
        <v>86</v>
      </c>
      <c r="J2272" s="4" t="s">
        <v>20</v>
      </c>
      <c r="K2272" s="4" t="s">
        <v>49</v>
      </c>
    </row>
    <row r="2273" spans="1:11" ht="15.75" hidden="1" customHeight="1" x14ac:dyDescent="0.2">
      <c r="B2273" s="4" t="s">
        <v>8</v>
      </c>
      <c r="C2273" s="4" t="s">
        <v>141</v>
      </c>
      <c r="D2273" s="4" t="s">
        <v>71</v>
      </c>
      <c r="E2273" s="4" t="s">
        <v>17</v>
      </c>
      <c r="F2273" s="4" t="s">
        <v>252</v>
      </c>
      <c r="G2273" s="7" t="s">
        <v>11</v>
      </c>
      <c r="H2273" s="6" t="s">
        <v>11</v>
      </c>
      <c r="I2273" s="4" t="s">
        <v>2</v>
      </c>
      <c r="J2273" s="4" t="s">
        <v>15</v>
      </c>
      <c r="K2273" s="4" t="s">
        <v>0</v>
      </c>
    </row>
    <row r="2274" spans="1:11" ht="15.75" hidden="1" customHeight="1" x14ac:dyDescent="0.2">
      <c r="B2274" s="4" t="s">
        <v>8</v>
      </c>
      <c r="C2274" s="4" t="s">
        <v>132</v>
      </c>
      <c r="D2274" s="4" t="s">
        <v>97</v>
      </c>
      <c r="E2274" s="4" t="s">
        <v>17</v>
      </c>
      <c r="F2274" s="4" t="s">
        <v>251</v>
      </c>
      <c r="G2274" s="7" t="s">
        <v>11</v>
      </c>
      <c r="H2274" s="6" t="s">
        <v>11</v>
      </c>
      <c r="I2274" s="4" t="s">
        <v>10</v>
      </c>
      <c r="J2274" s="4" t="s">
        <v>15</v>
      </c>
      <c r="K2274" s="4" t="s">
        <v>0</v>
      </c>
    </row>
    <row r="2275" spans="1:11" ht="15.75" hidden="1" customHeight="1" x14ac:dyDescent="0.2">
      <c r="B2275" s="4" t="s">
        <v>8</v>
      </c>
      <c r="C2275" s="4" t="s">
        <v>250</v>
      </c>
      <c r="D2275" s="4" t="s">
        <v>94</v>
      </c>
      <c r="E2275" s="4" t="s">
        <v>5</v>
      </c>
      <c r="F2275" s="4" t="s">
        <v>249</v>
      </c>
      <c r="G2275" s="7" t="str">
        <f>HYPERLINK("https://www.facebook.com/alwarspca/posts/464091054275798","Social media")</f>
        <v>Social media</v>
      </c>
      <c r="H2275" s="6" t="s">
        <v>11</v>
      </c>
      <c r="I2275" s="4" t="s">
        <v>10</v>
      </c>
      <c r="J2275" s="4" t="s">
        <v>15</v>
      </c>
      <c r="K2275" s="4" t="s">
        <v>0</v>
      </c>
    </row>
    <row r="2276" spans="1:11" ht="15.75" hidden="1" customHeight="1" x14ac:dyDescent="0.2">
      <c r="B2276" s="4" t="s">
        <v>8</v>
      </c>
      <c r="C2276" s="4" t="s">
        <v>150</v>
      </c>
      <c r="D2276" s="4" t="s">
        <v>150</v>
      </c>
      <c r="E2276" s="4" t="s">
        <v>17</v>
      </c>
      <c r="F2276" s="4" t="s">
        <v>248</v>
      </c>
      <c r="G2276" s="7" t="s">
        <v>11</v>
      </c>
      <c r="H2276" s="6" t="s">
        <v>11</v>
      </c>
      <c r="I2276" s="4" t="s">
        <v>10</v>
      </c>
      <c r="J2276" s="4" t="s">
        <v>15</v>
      </c>
      <c r="K2276" s="4" t="s">
        <v>0</v>
      </c>
    </row>
    <row r="2277" spans="1:11" ht="15.75" hidden="1" customHeight="1" x14ac:dyDescent="0.2">
      <c r="B2277" s="4" t="s">
        <v>8</v>
      </c>
      <c r="C2277" s="4" t="s">
        <v>137</v>
      </c>
      <c r="D2277" s="4" t="s">
        <v>71</v>
      </c>
      <c r="E2277" s="4" t="s">
        <v>5</v>
      </c>
      <c r="F2277" s="4" t="s">
        <v>247</v>
      </c>
      <c r="G2277" s="7" t="s">
        <v>11</v>
      </c>
      <c r="H2277" s="6" t="s">
        <v>11</v>
      </c>
      <c r="I2277" s="4" t="s">
        <v>10</v>
      </c>
      <c r="J2277" s="4" t="s">
        <v>15</v>
      </c>
      <c r="K2277" s="4" t="s">
        <v>0</v>
      </c>
    </row>
    <row r="2278" spans="1:11" ht="15.75" hidden="1" customHeight="1" x14ac:dyDescent="0.2">
      <c r="B2278" s="4" t="s">
        <v>8</v>
      </c>
      <c r="C2278" s="4" t="s">
        <v>150</v>
      </c>
      <c r="D2278" s="4" t="s">
        <v>150</v>
      </c>
      <c r="E2278" s="4" t="s">
        <v>17</v>
      </c>
      <c r="F2278" s="4" t="s">
        <v>246</v>
      </c>
      <c r="G2278" s="7" t="s">
        <v>11</v>
      </c>
      <c r="H2278" s="6" t="s">
        <v>11</v>
      </c>
      <c r="I2278" s="4" t="s">
        <v>2</v>
      </c>
      <c r="J2278" s="4" t="s">
        <v>15</v>
      </c>
      <c r="K2278" s="4" t="s">
        <v>0</v>
      </c>
    </row>
    <row r="2279" spans="1:11" ht="15.75" hidden="1" customHeight="1" x14ac:dyDescent="0.2">
      <c r="B2279" s="4" t="s">
        <v>8</v>
      </c>
      <c r="C2279" s="4" t="s">
        <v>89</v>
      </c>
      <c r="D2279" s="4" t="s">
        <v>88</v>
      </c>
      <c r="E2279" s="4" t="s">
        <v>17</v>
      </c>
      <c r="F2279" s="4" t="s">
        <v>245</v>
      </c>
      <c r="G2279" s="7" t="s">
        <v>11</v>
      </c>
      <c r="H2279" s="6" t="s">
        <v>11</v>
      </c>
      <c r="I2279" s="4" t="s">
        <v>10</v>
      </c>
      <c r="J2279" s="4" t="s">
        <v>15</v>
      </c>
      <c r="K2279" s="4" t="s">
        <v>0</v>
      </c>
    </row>
    <row r="2280" spans="1:11" ht="15.75" hidden="1" customHeight="1" x14ac:dyDescent="0.2">
      <c r="B2280" s="4" t="s">
        <v>8</v>
      </c>
      <c r="C2280" s="4" t="s">
        <v>150</v>
      </c>
      <c r="D2280" s="4" t="s">
        <v>150</v>
      </c>
      <c r="E2280" s="4" t="s">
        <v>5</v>
      </c>
      <c r="F2280" s="4" t="s">
        <v>244</v>
      </c>
      <c r="G2280" s="7" t="s">
        <v>11</v>
      </c>
      <c r="H2280" s="6" t="s">
        <v>11</v>
      </c>
      <c r="I2280" s="4" t="s">
        <v>10</v>
      </c>
      <c r="J2280" s="4" t="s">
        <v>20</v>
      </c>
      <c r="K2280" s="4" t="s">
        <v>0</v>
      </c>
    </row>
    <row r="2281" spans="1:11" ht="15.75" customHeight="1" x14ac:dyDescent="0.2">
      <c r="A2281" s="1">
        <v>274</v>
      </c>
      <c r="B2281" s="4" t="s">
        <v>8</v>
      </c>
      <c r="C2281" s="4" t="s">
        <v>243</v>
      </c>
      <c r="D2281" s="4" t="s">
        <v>62</v>
      </c>
      <c r="E2281" s="4" t="s">
        <v>5</v>
      </c>
      <c r="F2281" s="4" t="s">
        <v>242</v>
      </c>
      <c r="G2281" s="7" t="s">
        <v>3</v>
      </c>
      <c r="H2281" s="6" t="s">
        <v>3</v>
      </c>
      <c r="I2281" s="4" t="s">
        <v>86</v>
      </c>
      <c r="J2281" s="4" t="s">
        <v>20</v>
      </c>
      <c r="K2281" s="4" t="s">
        <v>45</v>
      </c>
    </row>
    <row r="2282" spans="1:11" ht="15.75" hidden="1" customHeight="1" x14ac:dyDescent="0.2">
      <c r="B2282" s="4" t="s">
        <v>8</v>
      </c>
      <c r="C2282" s="4"/>
      <c r="D2282" s="4" t="s">
        <v>236</v>
      </c>
      <c r="E2282" s="4" t="s">
        <v>5</v>
      </c>
      <c r="F2282" s="4" t="s">
        <v>241</v>
      </c>
      <c r="G2282" s="7" t="str">
        <f>HYPERLINK("https://www.facebook.com/groups/goapetlife/permalink/2235227323243884/","Social media")</f>
        <v>Social media</v>
      </c>
      <c r="H2282" s="6" t="s">
        <v>11</v>
      </c>
      <c r="I2282" s="4" t="s">
        <v>10</v>
      </c>
      <c r="J2282" s="4" t="s">
        <v>20</v>
      </c>
      <c r="K2282" s="4" t="s">
        <v>0</v>
      </c>
    </row>
    <row r="2283" spans="1:11" ht="15.75" hidden="1" customHeight="1" x14ac:dyDescent="0.2">
      <c r="B2283" s="4" t="s">
        <v>8</v>
      </c>
      <c r="C2283" s="4" t="s">
        <v>181</v>
      </c>
      <c r="D2283" s="4" t="s">
        <v>42</v>
      </c>
      <c r="E2283" s="4" t="s">
        <v>17</v>
      </c>
      <c r="F2283" s="4" t="s">
        <v>240</v>
      </c>
      <c r="G2283" s="7" t="s">
        <v>11</v>
      </c>
      <c r="H2283" s="6" t="s">
        <v>11</v>
      </c>
      <c r="I2283" s="4" t="s">
        <v>10</v>
      </c>
      <c r="J2283" s="4" t="s">
        <v>15</v>
      </c>
      <c r="K2283" s="4" t="s">
        <v>0</v>
      </c>
    </row>
    <row r="2284" spans="1:11" ht="15.75" hidden="1" customHeight="1" x14ac:dyDescent="0.2">
      <c r="B2284" s="4" t="s">
        <v>8</v>
      </c>
      <c r="C2284" s="4" t="s">
        <v>48</v>
      </c>
      <c r="D2284" s="4" t="s">
        <v>47</v>
      </c>
      <c r="E2284" s="4" t="s">
        <v>17</v>
      </c>
      <c r="F2284" s="4" t="s">
        <v>239</v>
      </c>
      <c r="G2284" s="7" t="s">
        <v>11</v>
      </c>
      <c r="H2284" s="6" t="s">
        <v>11</v>
      </c>
      <c r="I2284" s="4" t="s">
        <v>10</v>
      </c>
      <c r="J2284" s="4" t="s">
        <v>15</v>
      </c>
      <c r="K2284" s="4" t="s">
        <v>0</v>
      </c>
    </row>
    <row r="2285" spans="1:11" ht="15.75" hidden="1" customHeight="1" x14ac:dyDescent="0.2">
      <c r="B2285" s="4" t="s">
        <v>8</v>
      </c>
      <c r="C2285" s="4" t="s">
        <v>91</v>
      </c>
      <c r="D2285" s="4" t="s">
        <v>42</v>
      </c>
      <c r="E2285" s="4" t="s">
        <v>23</v>
      </c>
      <c r="F2285" s="4" t="s">
        <v>238</v>
      </c>
      <c r="G2285" s="7" t="s">
        <v>11</v>
      </c>
      <c r="H2285" s="6" t="s">
        <v>11</v>
      </c>
      <c r="I2285" s="4" t="s">
        <v>10</v>
      </c>
      <c r="J2285" s="4" t="s">
        <v>15</v>
      </c>
      <c r="K2285" s="4" t="s">
        <v>0</v>
      </c>
    </row>
    <row r="2286" spans="1:11" ht="15.75" hidden="1" customHeight="1" x14ac:dyDescent="0.2">
      <c r="B2286" s="4" t="s">
        <v>8</v>
      </c>
      <c r="C2286" s="4" t="s">
        <v>237</v>
      </c>
      <c r="D2286" s="4" t="s">
        <v>236</v>
      </c>
      <c r="E2286" s="4" t="s">
        <v>17</v>
      </c>
      <c r="F2286" s="4" t="s">
        <v>235</v>
      </c>
      <c r="G2286" s="7" t="str">
        <f>HYPERLINK("https://www.facebook.com/groups/goapetlife/permalink/2236897689743514/","Social media")</f>
        <v>Social media</v>
      </c>
      <c r="H2286" s="6" t="s">
        <v>11</v>
      </c>
      <c r="I2286" s="4" t="s">
        <v>10</v>
      </c>
      <c r="J2286" s="4" t="s">
        <v>15</v>
      </c>
      <c r="K2286" s="4" t="s">
        <v>0</v>
      </c>
    </row>
    <row r="2287" spans="1:11" ht="15.75" hidden="1" customHeight="1" x14ac:dyDescent="0.2">
      <c r="B2287" s="4" t="s">
        <v>8</v>
      </c>
      <c r="C2287" s="4" t="s">
        <v>91</v>
      </c>
      <c r="D2287" s="4" t="s">
        <v>42</v>
      </c>
      <c r="E2287" s="4" t="s">
        <v>5</v>
      </c>
      <c r="F2287" s="4" t="s">
        <v>234</v>
      </c>
      <c r="G2287" s="7" t="s">
        <v>11</v>
      </c>
      <c r="H2287" s="6" t="s">
        <v>11</v>
      </c>
      <c r="I2287" s="4" t="s">
        <v>10</v>
      </c>
      <c r="J2287" s="4" t="s">
        <v>20</v>
      </c>
      <c r="K2287" s="4" t="s">
        <v>0</v>
      </c>
    </row>
    <row r="2288" spans="1:11" ht="15.75" hidden="1" customHeight="1" x14ac:dyDescent="0.2">
      <c r="B2288" s="4" t="s">
        <v>8</v>
      </c>
      <c r="C2288" s="4" t="s">
        <v>233</v>
      </c>
      <c r="D2288" s="4" t="s">
        <v>232</v>
      </c>
      <c r="E2288" s="4" t="s">
        <v>17</v>
      </c>
      <c r="F2288" s="4" t="s">
        <v>231</v>
      </c>
      <c r="G2288" s="7" t="s">
        <v>11</v>
      </c>
      <c r="H2288" s="6" t="s">
        <v>11</v>
      </c>
      <c r="I2288" s="4" t="s">
        <v>10</v>
      </c>
      <c r="J2288" s="4" t="s">
        <v>15</v>
      </c>
      <c r="K2288" s="4" t="s">
        <v>0</v>
      </c>
    </row>
    <row r="2289" spans="1:11" ht="15.75" customHeight="1" x14ac:dyDescent="0.2">
      <c r="A2289" s="1">
        <v>275</v>
      </c>
      <c r="B2289" s="4" t="s">
        <v>8</v>
      </c>
      <c r="C2289" s="4" t="s">
        <v>228</v>
      </c>
      <c r="D2289" s="4" t="s">
        <v>36</v>
      </c>
      <c r="E2289" s="4" t="s">
        <v>23</v>
      </c>
      <c r="F2289" s="4" t="s">
        <v>230</v>
      </c>
      <c r="G2289" s="7" t="s">
        <v>3</v>
      </c>
      <c r="H2289" s="6" t="s">
        <v>3</v>
      </c>
      <c r="I2289" s="4" t="s">
        <v>86</v>
      </c>
      <c r="J2289" s="4" t="s">
        <v>20</v>
      </c>
      <c r="K2289" s="4" t="s">
        <v>229</v>
      </c>
    </row>
    <row r="2290" spans="1:11" ht="15.75" customHeight="1" x14ac:dyDescent="0.2">
      <c r="A2290" s="1">
        <v>276</v>
      </c>
      <c r="B2290" s="4" t="s">
        <v>8</v>
      </c>
      <c r="C2290" s="4" t="s">
        <v>228</v>
      </c>
      <c r="D2290" s="4" t="s">
        <v>36</v>
      </c>
      <c r="E2290" s="4" t="s">
        <v>23</v>
      </c>
      <c r="F2290" s="4" t="s">
        <v>227</v>
      </c>
      <c r="G2290" s="7" t="s">
        <v>3</v>
      </c>
      <c r="H2290" s="6" t="s">
        <v>3</v>
      </c>
      <c r="I2290" s="4" t="s">
        <v>21</v>
      </c>
      <c r="J2290" s="4" t="s">
        <v>20</v>
      </c>
      <c r="K2290" s="4" t="s">
        <v>19</v>
      </c>
    </row>
    <row r="2291" spans="1:11" ht="15.75" hidden="1" customHeight="1" x14ac:dyDescent="0.2">
      <c r="B2291" s="4" t="s">
        <v>8</v>
      </c>
      <c r="C2291" s="4" t="s">
        <v>150</v>
      </c>
      <c r="D2291" s="4" t="s">
        <v>150</v>
      </c>
      <c r="E2291" s="4" t="s">
        <v>17</v>
      </c>
      <c r="F2291" s="4" t="s">
        <v>226</v>
      </c>
      <c r="G2291" s="7" t="s">
        <v>11</v>
      </c>
      <c r="H2291" s="6" t="s">
        <v>11</v>
      </c>
      <c r="I2291" s="4" t="s">
        <v>10</v>
      </c>
      <c r="J2291" s="4" t="s">
        <v>20</v>
      </c>
      <c r="K2291" s="4" t="s">
        <v>0</v>
      </c>
    </row>
    <row r="2292" spans="1:11" ht="15.75" hidden="1" customHeight="1" x14ac:dyDescent="0.2">
      <c r="B2292" s="4" t="s">
        <v>8</v>
      </c>
      <c r="C2292" s="4" t="s">
        <v>150</v>
      </c>
      <c r="D2292" s="4" t="s">
        <v>150</v>
      </c>
      <c r="E2292" s="4" t="s">
        <v>17</v>
      </c>
      <c r="F2292" s="4" t="s">
        <v>225</v>
      </c>
      <c r="G2292" s="7" t="s">
        <v>11</v>
      </c>
      <c r="H2292" s="6" t="s">
        <v>11</v>
      </c>
      <c r="I2292" s="4" t="s">
        <v>10</v>
      </c>
      <c r="J2292" s="4" t="s">
        <v>15</v>
      </c>
      <c r="K2292" s="4" t="s">
        <v>0</v>
      </c>
    </row>
    <row r="2293" spans="1:11" ht="15.75" hidden="1" customHeight="1" x14ac:dyDescent="0.2">
      <c r="B2293" s="4" t="s">
        <v>8</v>
      </c>
      <c r="C2293" s="4" t="s">
        <v>150</v>
      </c>
      <c r="D2293" s="4" t="s">
        <v>150</v>
      </c>
      <c r="E2293" s="4" t="s">
        <v>17</v>
      </c>
      <c r="F2293" s="4" t="s">
        <v>224</v>
      </c>
      <c r="G2293" s="7" t="s">
        <v>11</v>
      </c>
      <c r="H2293" s="6" t="s">
        <v>11</v>
      </c>
      <c r="I2293" s="4" t="s">
        <v>2</v>
      </c>
      <c r="J2293" s="4" t="s">
        <v>15</v>
      </c>
      <c r="K2293" s="4" t="s">
        <v>0</v>
      </c>
    </row>
    <row r="2294" spans="1:11" ht="15.75" customHeight="1" x14ac:dyDescent="0.2">
      <c r="A2294" s="1">
        <v>277</v>
      </c>
      <c r="B2294" s="4" t="s">
        <v>8</v>
      </c>
      <c r="C2294" s="4" t="s">
        <v>130</v>
      </c>
      <c r="D2294" s="4" t="s">
        <v>77</v>
      </c>
      <c r="E2294" s="4" t="s">
        <v>23</v>
      </c>
      <c r="F2294" s="4" t="s">
        <v>223</v>
      </c>
      <c r="G2294" s="7" t="s">
        <v>3</v>
      </c>
      <c r="H2294" s="6" t="s">
        <v>3</v>
      </c>
      <c r="I2294" s="4" t="s">
        <v>10</v>
      </c>
      <c r="J2294" s="4" t="s">
        <v>20</v>
      </c>
      <c r="K2294" s="4" t="s">
        <v>0</v>
      </c>
    </row>
    <row r="2295" spans="1:11" ht="15.75" hidden="1" customHeight="1" x14ac:dyDescent="0.2">
      <c r="B2295" s="4" t="s">
        <v>8</v>
      </c>
      <c r="C2295" s="4" t="s">
        <v>222</v>
      </c>
      <c r="D2295" s="4" t="s">
        <v>221</v>
      </c>
      <c r="E2295" s="4" t="s">
        <v>5</v>
      </c>
      <c r="F2295" s="4" t="s">
        <v>220</v>
      </c>
      <c r="G2295" s="7" t="s">
        <v>11</v>
      </c>
      <c r="H2295" s="6" t="s">
        <v>11</v>
      </c>
      <c r="I2295" s="4" t="s">
        <v>86</v>
      </c>
      <c r="J2295" s="4" t="s">
        <v>20</v>
      </c>
      <c r="K2295" s="4" t="s">
        <v>45</v>
      </c>
    </row>
    <row r="2296" spans="1:11" ht="15.75" customHeight="1" x14ac:dyDescent="0.2">
      <c r="A2296" s="1">
        <v>278</v>
      </c>
      <c r="B2296" s="4" t="s">
        <v>8</v>
      </c>
      <c r="C2296" s="4" t="s">
        <v>219</v>
      </c>
      <c r="D2296" s="4" t="s">
        <v>42</v>
      </c>
      <c r="E2296" s="4" t="s">
        <v>23</v>
      </c>
      <c r="F2296" s="4" t="s">
        <v>218</v>
      </c>
      <c r="G2296" s="7" t="s">
        <v>3</v>
      </c>
      <c r="H2296" s="6" t="s">
        <v>3</v>
      </c>
      <c r="I2296" s="4" t="s">
        <v>21</v>
      </c>
      <c r="J2296" s="4" t="s">
        <v>1</v>
      </c>
      <c r="K2296" s="4" t="s">
        <v>217</v>
      </c>
    </row>
    <row r="2297" spans="1:11" ht="15.75" hidden="1" customHeight="1" x14ac:dyDescent="0.2">
      <c r="B2297" s="4" t="s">
        <v>8</v>
      </c>
      <c r="C2297" s="4" t="s">
        <v>89</v>
      </c>
      <c r="D2297" s="4" t="s">
        <v>88</v>
      </c>
      <c r="E2297" s="4" t="s">
        <v>159</v>
      </c>
      <c r="F2297" s="4" t="s">
        <v>216</v>
      </c>
      <c r="G2297" s="7" t="s">
        <v>11</v>
      </c>
      <c r="H2297" s="6" t="s">
        <v>11</v>
      </c>
      <c r="I2297" s="4" t="s">
        <v>10</v>
      </c>
      <c r="J2297" s="4" t="s">
        <v>215</v>
      </c>
      <c r="K2297" s="4" t="s">
        <v>0</v>
      </c>
    </row>
    <row r="2298" spans="1:11" ht="15.75" hidden="1" customHeight="1" x14ac:dyDescent="0.2">
      <c r="B2298" s="4" t="s">
        <v>8</v>
      </c>
      <c r="C2298" s="4" t="s">
        <v>150</v>
      </c>
      <c r="D2298" s="4" t="s">
        <v>150</v>
      </c>
      <c r="E2298" s="4" t="s">
        <v>17</v>
      </c>
      <c r="F2298" s="4" t="s">
        <v>214</v>
      </c>
      <c r="G2298" s="7" t="s">
        <v>11</v>
      </c>
      <c r="H2298" s="6" t="s">
        <v>11</v>
      </c>
      <c r="I2298" s="4" t="s">
        <v>10</v>
      </c>
      <c r="J2298" s="4" t="s">
        <v>15</v>
      </c>
      <c r="K2298" s="4" t="s">
        <v>0</v>
      </c>
    </row>
    <row r="2299" spans="1:11" ht="15.75" hidden="1" customHeight="1" x14ac:dyDescent="0.2">
      <c r="B2299" s="4" t="s">
        <v>8</v>
      </c>
      <c r="C2299" s="4" t="s">
        <v>89</v>
      </c>
      <c r="D2299" s="4" t="s">
        <v>88</v>
      </c>
      <c r="E2299" s="4" t="s">
        <v>17</v>
      </c>
      <c r="F2299" s="4" t="s">
        <v>213</v>
      </c>
      <c r="G2299" s="7" t="s">
        <v>11</v>
      </c>
      <c r="H2299" s="6" t="s">
        <v>11</v>
      </c>
      <c r="I2299" s="4" t="s">
        <v>10</v>
      </c>
      <c r="J2299" s="4" t="s">
        <v>15</v>
      </c>
      <c r="K2299" s="4" t="s">
        <v>0</v>
      </c>
    </row>
    <row r="2300" spans="1:11" ht="15.75" hidden="1" customHeight="1" x14ac:dyDescent="0.2">
      <c r="B2300" s="4" t="s">
        <v>8</v>
      </c>
      <c r="C2300" s="4" t="s">
        <v>89</v>
      </c>
      <c r="D2300" s="4" t="s">
        <v>88</v>
      </c>
      <c r="E2300" s="4" t="s">
        <v>17</v>
      </c>
      <c r="F2300" s="4" t="s">
        <v>212</v>
      </c>
      <c r="G2300" s="7" t="s">
        <v>11</v>
      </c>
      <c r="H2300" s="6" t="s">
        <v>11</v>
      </c>
      <c r="I2300" s="4" t="s">
        <v>10</v>
      </c>
      <c r="J2300" s="4" t="s">
        <v>15</v>
      </c>
      <c r="K2300" s="4" t="s">
        <v>0</v>
      </c>
    </row>
    <row r="2301" spans="1:11" ht="15.75" hidden="1" customHeight="1" x14ac:dyDescent="0.2">
      <c r="B2301" s="4" t="s">
        <v>8</v>
      </c>
      <c r="C2301" s="4" t="s">
        <v>150</v>
      </c>
      <c r="D2301" s="4" t="s">
        <v>150</v>
      </c>
      <c r="E2301" s="4" t="s">
        <v>5</v>
      </c>
      <c r="F2301" s="4" t="s">
        <v>211</v>
      </c>
      <c r="G2301" s="7" t="s">
        <v>11</v>
      </c>
      <c r="H2301" s="6" t="s">
        <v>11</v>
      </c>
      <c r="I2301" s="4" t="s">
        <v>2</v>
      </c>
      <c r="J2301" s="4" t="s">
        <v>15</v>
      </c>
      <c r="K2301" s="4" t="s">
        <v>0</v>
      </c>
    </row>
    <row r="2302" spans="1:11" ht="15.75" hidden="1" customHeight="1" x14ac:dyDescent="0.2">
      <c r="B2302" s="4" t="s">
        <v>8</v>
      </c>
      <c r="C2302" s="4" t="s">
        <v>74</v>
      </c>
      <c r="D2302" s="4" t="s">
        <v>210</v>
      </c>
      <c r="E2302" s="4" t="s">
        <v>17</v>
      </c>
      <c r="F2302" s="4" t="s">
        <v>209</v>
      </c>
      <c r="G2302" s="7" t="s">
        <v>11</v>
      </c>
      <c r="H2302" s="6" t="s">
        <v>11</v>
      </c>
      <c r="I2302" s="4" t="s">
        <v>10</v>
      </c>
      <c r="J2302" s="4" t="s">
        <v>15</v>
      </c>
      <c r="K2302" s="4" t="s">
        <v>0</v>
      </c>
    </row>
    <row r="2303" spans="1:11" ht="15.75" hidden="1" customHeight="1" x14ac:dyDescent="0.2">
      <c r="B2303" s="4" t="s">
        <v>8</v>
      </c>
      <c r="C2303" s="4" t="s">
        <v>150</v>
      </c>
      <c r="D2303" s="4" t="s">
        <v>150</v>
      </c>
      <c r="E2303" s="4" t="s">
        <v>17</v>
      </c>
      <c r="F2303" s="4" t="s">
        <v>208</v>
      </c>
      <c r="G2303" s="7" t="s">
        <v>207</v>
      </c>
      <c r="H2303" s="6" t="s">
        <v>11</v>
      </c>
      <c r="I2303" s="4" t="s">
        <v>2</v>
      </c>
      <c r="J2303" s="4" t="s">
        <v>15</v>
      </c>
      <c r="K2303" s="4" t="s">
        <v>0</v>
      </c>
    </row>
    <row r="2304" spans="1:11" ht="15.75" customHeight="1" x14ac:dyDescent="0.2">
      <c r="A2304" s="1">
        <v>279</v>
      </c>
      <c r="B2304" s="4" t="s">
        <v>8</v>
      </c>
      <c r="C2304" s="4" t="s">
        <v>206</v>
      </c>
      <c r="D2304" s="4" t="s">
        <v>6</v>
      </c>
      <c r="E2304" s="4" t="s">
        <v>5</v>
      </c>
      <c r="F2304" s="4" t="s">
        <v>205</v>
      </c>
      <c r="G2304" s="7" t="s">
        <v>3</v>
      </c>
      <c r="H2304" s="6" t="s">
        <v>3</v>
      </c>
      <c r="I2304" s="4" t="s">
        <v>21</v>
      </c>
      <c r="J2304" s="4" t="s">
        <v>1</v>
      </c>
      <c r="K2304" s="4" t="s">
        <v>204</v>
      </c>
    </row>
    <row r="2305" spans="1:11" ht="15.75" customHeight="1" x14ac:dyDescent="0.2">
      <c r="A2305" s="1">
        <v>280</v>
      </c>
      <c r="B2305" s="4" t="s">
        <v>8</v>
      </c>
      <c r="C2305" s="4" t="s">
        <v>104</v>
      </c>
      <c r="D2305" s="4" t="s">
        <v>18</v>
      </c>
      <c r="E2305" s="4" t="s">
        <v>81</v>
      </c>
      <c r="F2305" s="4" t="s">
        <v>203</v>
      </c>
      <c r="G2305" s="7" t="str">
        <f>HYPERLINK("https://timesofindia.indiatimes.com/city/mumbai/mumbai-dog-brutally-beaten-inside-college-campus-fir-registered-against-watchman/articleshow/74429145.cms?from=mdr","News")</f>
        <v>News</v>
      </c>
      <c r="H2305" s="6" t="s">
        <v>3</v>
      </c>
      <c r="I2305" s="4" t="s">
        <v>10</v>
      </c>
      <c r="J2305" s="4" t="s">
        <v>20</v>
      </c>
      <c r="K2305" s="4" t="s">
        <v>0</v>
      </c>
    </row>
    <row r="2306" spans="1:11" ht="15.75" customHeight="1" x14ac:dyDescent="0.2">
      <c r="A2306" s="1">
        <v>281</v>
      </c>
      <c r="B2306" s="4" t="s">
        <v>8</v>
      </c>
      <c r="C2306" s="4" t="s">
        <v>104</v>
      </c>
      <c r="D2306" s="4" t="s">
        <v>18</v>
      </c>
      <c r="E2306" s="4" t="s">
        <v>5</v>
      </c>
      <c r="F2306" s="4" t="s">
        <v>202</v>
      </c>
      <c r="G2306" s="7" t="str">
        <f>HYPERLINK("https://timesofindia.indiatimes.com/city/navi-mumbai/navi-mumbai-puppies-tails-grievously-cut-in-kalamboli-two-rescued/articleshow/73939973.cms","News")</f>
        <v>News</v>
      </c>
      <c r="H2306" s="6" t="s">
        <v>3</v>
      </c>
      <c r="I2306" s="4" t="s">
        <v>10</v>
      </c>
      <c r="J2306" s="4" t="s">
        <v>15</v>
      </c>
      <c r="K2306" s="4" t="s">
        <v>0</v>
      </c>
    </row>
    <row r="2307" spans="1:11" ht="15.75" customHeight="1" x14ac:dyDescent="0.2">
      <c r="A2307" s="1">
        <v>282</v>
      </c>
      <c r="B2307" s="4" t="s">
        <v>8</v>
      </c>
      <c r="C2307" s="4" t="s">
        <v>201</v>
      </c>
      <c r="D2307" s="4" t="s">
        <v>154</v>
      </c>
      <c r="E2307" s="4" t="s">
        <v>55</v>
      </c>
      <c r="F2307" s="4" t="s">
        <v>200</v>
      </c>
      <c r="G2307" s="7" t="s">
        <v>199</v>
      </c>
      <c r="H2307" s="6" t="s">
        <v>3</v>
      </c>
      <c r="I2307" s="4" t="s">
        <v>10</v>
      </c>
      <c r="J2307" s="4" t="s">
        <v>15</v>
      </c>
      <c r="K2307" s="4" t="s">
        <v>0</v>
      </c>
    </row>
    <row r="2308" spans="1:11" ht="15.75" hidden="1" customHeight="1" x14ac:dyDescent="0.2">
      <c r="B2308" s="4" t="s">
        <v>8</v>
      </c>
      <c r="C2308" s="4" t="s">
        <v>98</v>
      </c>
      <c r="D2308" s="4" t="s">
        <v>97</v>
      </c>
      <c r="E2308" s="4" t="s">
        <v>5</v>
      </c>
      <c r="F2308" s="4" t="s">
        <v>198</v>
      </c>
      <c r="G2308" s="7" t="s">
        <v>11</v>
      </c>
      <c r="H2308" s="6" t="s">
        <v>11</v>
      </c>
      <c r="I2308" s="4" t="s">
        <v>197</v>
      </c>
      <c r="J2308" s="4" t="s">
        <v>196</v>
      </c>
      <c r="K2308" s="4" t="s">
        <v>108</v>
      </c>
    </row>
    <row r="2309" spans="1:11" ht="15.75" hidden="1" customHeight="1" x14ac:dyDescent="0.2">
      <c r="B2309" s="4" t="s">
        <v>8</v>
      </c>
      <c r="C2309" s="4" t="s">
        <v>195</v>
      </c>
      <c r="D2309" s="4" t="s">
        <v>42</v>
      </c>
      <c r="E2309" s="4" t="s">
        <v>5</v>
      </c>
      <c r="F2309" s="4" t="s">
        <v>194</v>
      </c>
      <c r="G2309" s="17" t="s">
        <v>11</v>
      </c>
      <c r="H2309" s="6" t="s">
        <v>11</v>
      </c>
      <c r="I2309" s="4" t="s">
        <v>10</v>
      </c>
      <c r="J2309" s="4" t="s">
        <v>20</v>
      </c>
      <c r="K2309" s="4" t="s">
        <v>0</v>
      </c>
    </row>
    <row r="2310" spans="1:11" ht="15.75" hidden="1" customHeight="1" x14ac:dyDescent="0.2">
      <c r="B2310" s="4" t="s">
        <v>8</v>
      </c>
      <c r="C2310" s="4" t="s">
        <v>150</v>
      </c>
      <c r="D2310" s="4" t="s">
        <v>150</v>
      </c>
      <c r="E2310" s="4" t="s">
        <v>17</v>
      </c>
      <c r="F2310" s="4" t="s">
        <v>193</v>
      </c>
      <c r="G2310" s="7" t="s">
        <v>11</v>
      </c>
      <c r="H2310" s="6" t="s">
        <v>11</v>
      </c>
      <c r="I2310" s="4" t="s">
        <v>10</v>
      </c>
      <c r="J2310" s="4" t="s">
        <v>15</v>
      </c>
      <c r="K2310" s="4" t="s">
        <v>108</v>
      </c>
    </row>
    <row r="2311" spans="1:11" ht="15.75" hidden="1" customHeight="1" x14ac:dyDescent="0.2">
      <c r="B2311" s="4" t="s">
        <v>8</v>
      </c>
      <c r="C2311" s="4" t="s">
        <v>104</v>
      </c>
      <c r="D2311" s="4" t="s">
        <v>18</v>
      </c>
      <c r="E2311" s="4" t="s">
        <v>17</v>
      </c>
      <c r="F2311" s="4" t="s">
        <v>192</v>
      </c>
      <c r="G2311" s="7" t="str">
        <f>HYPERLINK("https://www.facebook.com/vijay.rangare/posts/2732240486813473","Social media")</f>
        <v>Social media</v>
      </c>
      <c r="H2311" s="6" t="s">
        <v>11</v>
      </c>
      <c r="I2311" s="4" t="s">
        <v>10</v>
      </c>
      <c r="J2311" s="4" t="s">
        <v>15</v>
      </c>
      <c r="K2311" s="4" t="s">
        <v>0</v>
      </c>
    </row>
    <row r="2312" spans="1:11" ht="15.75" hidden="1" customHeight="1" x14ac:dyDescent="0.2">
      <c r="B2312" s="4" t="s">
        <v>8</v>
      </c>
      <c r="C2312" s="4" t="s">
        <v>191</v>
      </c>
      <c r="D2312" s="4" t="s">
        <v>97</v>
      </c>
      <c r="E2312" s="4" t="s">
        <v>23</v>
      </c>
      <c r="F2312" s="4" t="s">
        <v>190</v>
      </c>
      <c r="G2312" s="7" t="s">
        <v>40</v>
      </c>
      <c r="H2312" s="6" t="s">
        <v>11</v>
      </c>
      <c r="I2312" s="4" t="s">
        <v>10</v>
      </c>
      <c r="J2312" s="4" t="s">
        <v>15</v>
      </c>
      <c r="K2312" s="4" t="s">
        <v>0</v>
      </c>
    </row>
    <row r="2313" spans="1:11" ht="15.75" hidden="1" customHeight="1" x14ac:dyDescent="0.2">
      <c r="B2313" s="4" t="s">
        <v>8</v>
      </c>
      <c r="C2313" s="4" t="s">
        <v>48</v>
      </c>
      <c r="D2313" s="4" t="s">
        <v>47</v>
      </c>
      <c r="E2313" s="4" t="s">
        <v>5</v>
      </c>
      <c r="F2313" s="4" t="s">
        <v>189</v>
      </c>
      <c r="G2313" s="7" t="s">
        <v>11</v>
      </c>
      <c r="H2313" s="6" t="s">
        <v>11</v>
      </c>
      <c r="I2313" s="4" t="s">
        <v>10</v>
      </c>
      <c r="J2313" s="4" t="s">
        <v>15</v>
      </c>
      <c r="K2313" s="4" t="s">
        <v>75</v>
      </c>
    </row>
    <row r="2314" spans="1:11" ht="15.75" hidden="1" customHeight="1" x14ac:dyDescent="0.2">
      <c r="B2314" s="4" t="s">
        <v>8</v>
      </c>
      <c r="C2314" s="4" t="s">
        <v>48</v>
      </c>
      <c r="D2314" s="4" t="s">
        <v>47</v>
      </c>
      <c r="E2314" s="4" t="s">
        <v>17</v>
      </c>
      <c r="F2314" s="4" t="s">
        <v>188</v>
      </c>
      <c r="G2314" s="7" t="s">
        <v>11</v>
      </c>
      <c r="H2314" s="6" t="s">
        <v>11</v>
      </c>
      <c r="I2314" s="4" t="s">
        <v>10</v>
      </c>
      <c r="J2314" s="4" t="s">
        <v>15</v>
      </c>
      <c r="K2314" s="4" t="s">
        <v>75</v>
      </c>
    </row>
    <row r="2315" spans="1:11" ht="15.75" hidden="1" customHeight="1" x14ac:dyDescent="0.2">
      <c r="B2315" s="4" t="s">
        <v>8</v>
      </c>
      <c r="C2315" s="4" t="s">
        <v>48</v>
      </c>
      <c r="D2315" s="4" t="s">
        <v>47</v>
      </c>
      <c r="E2315" s="4" t="s">
        <v>17</v>
      </c>
      <c r="F2315" s="4" t="s">
        <v>187</v>
      </c>
      <c r="G2315" s="7" t="s">
        <v>11</v>
      </c>
      <c r="H2315" s="6" t="s">
        <v>11</v>
      </c>
      <c r="I2315" s="4" t="s">
        <v>10</v>
      </c>
      <c r="J2315" s="4" t="s">
        <v>15</v>
      </c>
      <c r="K2315" s="4" t="s">
        <v>0</v>
      </c>
    </row>
    <row r="2316" spans="1:11" ht="15.75" hidden="1" customHeight="1" x14ac:dyDescent="0.2">
      <c r="B2316" s="4" t="s">
        <v>8</v>
      </c>
      <c r="C2316" s="4" t="s">
        <v>170</v>
      </c>
      <c r="D2316" s="4" t="s">
        <v>88</v>
      </c>
      <c r="E2316" s="4" t="s">
        <v>23</v>
      </c>
      <c r="F2316" s="4" t="s">
        <v>186</v>
      </c>
      <c r="G2316" s="7" t="s">
        <v>11</v>
      </c>
      <c r="H2316" s="6" t="s">
        <v>11</v>
      </c>
      <c r="I2316" s="4" t="s">
        <v>10</v>
      </c>
      <c r="J2316" s="4" t="s">
        <v>20</v>
      </c>
      <c r="K2316" s="4" t="s">
        <v>0</v>
      </c>
    </row>
    <row r="2317" spans="1:11" ht="15.75" hidden="1" customHeight="1" x14ac:dyDescent="0.2">
      <c r="B2317" s="4" t="s">
        <v>8</v>
      </c>
      <c r="C2317" s="4" t="s">
        <v>185</v>
      </c>
      <c r="D2317" s="4" t="s">
        <v>88</v>
      </c>
      <c r="E2317" s="4" t="s">
        <v>23</v>
      </c>
      <c r="F2317" s="4" t="s">
        <v>184</v>
      </c>
      <c r="G2317" s="7" t="s">
        <v>11</v>
      </c>
      <c r="H2317" s="6" t="s">
        <v>11</v>
      </c>
      <c r="I2317" s="4" t="s">
        <v>2</v>
      </c>
      <c r="J2317" s="4" t="s">
        <v>15</v>
      </c>
      <c r="K2317" s="4" t="s">
        <v>0</v>
      </c>
    </row>
    <row r="2318" spans="1:11" ht="15.75" hidden="1" customHeight="1" x14ac:dyDescent="0.2">
      <c r="B2318" s="4" t="s">
        <v>8</v>
      </c>
      <c r="C2318" s="4" t="s">
        <v>183</v>
      </c>
      <c r="D2318" s="4" t="s">
        <v>150</v>
      </c>
      <c r="E2318" s="4" t="s">
        <v>23</v>
      </c>
      <c r="F2318" s="4" t="s">
        <v>182</v>
      </c>
      <c r="G2318" s="7" t="s">
        <v>11</v>
      </c>
      <c r="H2318" s="6" t="s">
        <v>11</v>
      </c>
      <c r="I2318" s="4" t="s">
        <v>10</v>
      </c>
      <c r="J2318" s="4" t="s">
        <v>15</v>
      </c>
      <c r="K2318" s="4" t="s">
        <v>0</v>
      </c>
    </row>
    <row r="2319" spans="1:11" ht="15.75" customHeight="1" x14ac:dyDescent="0.2">
      <c r="A2319" s="1">
        <v>283</v>
      </c>
      <c r="B2319" s="4" t="s">
        <v>8</v>
      </c>
      <c r="C2319" s="4" t="s">
        <v>181</v>
      </c>
      <c r="D2319" s="4" t="s">
        <v>42</v>
      </c>
      <c r="E2319" s="4" t="s">
        <v>27</v>
      </c>
      <c r="F2319" s="4" t="s">
        <v>180</v>
      </c>
      <c r="G2319" s="7" t="s">
        <v>3</v>
      </c>
      <c r="H2319" s="6" t="s">
        <v>3</v>
      </c>
      <c r="I2319" s="4" t="s">
        <v>10</v>
      </c>
      <c r="J2319" s="4" t="s">
        <v>15</v>
      </c>
      <c r="K2319" s="4" t="s">
        <v>0</v>
      </c>
    </row>
    <row r="2320" spans="1:11" ht="15.75" hidden="1" customHeight="1" x14ac:dyDescent="0.2">
      <c r="B2320" s="4" t="s">
        <v>8</v>
      </c>
      <c r="C2320" s="4" t="s">
        <v>179</v>
      </c>
      <c r="D2320" s="4" t="s">
        <v>66</v>
      </c>
      <c r="E2320" s="4" t="s">
        <v>23</v>
      </c>
      <c r="F2320" s="4" t="s">
        <v>178</v>
      </c>
      <c r="G2320" s="7" t="str">
        <f>HYPERLINK("https://www.facebook.com/salvarma/posts/10222826024619604","Social media")</f>
        <v>Social media</v>
      </c>
      <c r="H2320" s="6" t="s">
        <v>11</v>
      </c>
      <c r="I2320" s="4" t="s">
        <v>2</v>
      </c>
      <c r="J2320" s="4" t="s">
        <v>20</v>
      </c>
      <c r="K2320" s="4" t="s">
        <v>0</v>
      </c>
    </row>
    <row r="2321" spans="1:11" ht="15.75" hidden="1" customHeight="1" x14ac:dyDescent="0.2">
      <c r="B2321" s="4" t="s">
        <v>8</v>
      </c>
      <c r="C2321" s="4" t="s">
        <v>89</v>
      </c>
      <c r="D2321" s="4" t="s">
        <v>88</v>
      </c>
      <c r="E2321" s="4" t="s">
        <v>23</v>
      </c>
      <c r="F2321" s="4" t="s">
        <v>176</v>
      </c>
      <c r="G2321" s="7" t="s">
        <v>11</v>
      </c>
      <c r="H2321" s="6" t="s">
        <v>11</v>
      </c>
      <c r="I2321" s="4" t="s">
        <v>10</v>
      </c>
      <c r="J2321" s="4" t="s">
        <v>15</v>
      </c>
      <c r="K2321" s="4" t="s">
        <v>0</v>
      </c>
    </row>
    <row r="2322" spans="1:11" ht="15.75" hidden="1" customHeight="1" x14ac:dyDescent="0.2">
      <c r="B2322" s="4" t="s">
        <v>8</v>
      </c>
      <c r="C2322" s="4" t="s">
        <v>130</v>
      </c>
      <c r="D2322" s="4" t="s">
        <v>77</v>
      </c>
      <c r="E2322" s="4" t="s">
        <v>17</v>
      </c>
      <c r="F2322" s="4" t="s">
        <v>175</v>
      </c>
      <c r="G2322" s="7" t="s">
        <v>11</v>
      </c>
      <c r="H2322" s="6" t="s">
        <v>11</v>
      </c>
      <c r="I2322" s="4" t="s">
        <v>10</v>
      </c>
      <c r="J2322" s="4" t="s">
        <v>15</v>
      </c>
      <c r="K2322" s="4" t="s">
        <v>0</v>
      </c>
    </row>
    <row r="2323" spans="1:11" ht="15.75" hidden="1" customHeight="1" x14ac:dyDescent="0.2">
      <c r="B2323" s="4" t="s">
        <v>8</v>
      </c>
      <c r="C2323" s="4" t="s">
        <v>150</v>
      </c>
      <c r="D2323" s="4" t="s">
        <v>150</v>
      </c>
      <c r="E2323" s="4" t="s">
        <v>17</v>
      </c>
      <c r="F2323" s="4" t="s">
        <v>174</v>
      </c>
      <c r="G2323" s="7" t="s">
        <v>11</v>
      </c>
      <c r="H2323" s="6" t="s">
        <v>11</v>
      </c>
      <c r="I2323" s="4" t="s">
        <v>10</v>
      </c>
      <c r="J2323" s="4" t="s">
        <v>15</v>
      </c>
      <c r="K2323" s="4" t="s">
        <v>0</v>
      </c>
    </row>
    <row r="2324" spans="1:11" ht="15.75" hidden="1" customHeight="1" x14ac:dyDescent="0.2">
      <c r="B2324" s="4" t="s">
        <v>8</v>
      </c>
      <c r="C2324" s="4" t="s">
        <v>173</v>
      </c>
      <c r="D2324" s="4" t="s">
        <v>150</v>
      </c>
      <c r="E2324" s="4" t="s">
        <v>23</v>
      </c>
      <c r="F2324" s="4" t="s">
        <v>172</v>
      </c>
      <c r="G2324" s="7" t="s">
        <v>11</v>
      </c>
      <c r="H2324" s="6" t="s">
        <v>11</v>
      </c>
      <c r="I2324" s="4" t="s">
        <v>10</v>
      </c>
      <c r="J2324" s="4" t="s">
        <v>20</v>
      </c>
      <c r="K2324" s="4" t="s">
        <v>0</v>
      </c>
    </row>
    <row r="2325" spans="1:11" ht="15.75" hidden="1" customHeight="1" x14ac:dyDescent="0.2">
      <c r="B2325" s="4" t="s">
        <v>8</v>
      </c>
      <c r="C2325" s="4" t="s">
        <v>89</v>
      </c>
      <c r="D2325" s="4" t="s">
        <v>88</v>
      </c>
      <c r="E2325" s="4" t="s">
        <v>17</v>
      </c>
      <c r="F2325" s="4" t="s">
        <v>171</v>
      </c>
      <c r="G2325" s="7" t="s">
        <v>11</v>
      </c>
      <c r="H2325" s="6" t="s">
        <v>11</v>
      </c>
      <c r="I2325" s="4" t="s">
        <v>10</v>
      </c>
      <c r="J2325" s="4" t="s">
        <v>15</v>
      </c>
      <c r="K2325" s="4" t="s">
        <v>0</v>
      </c>
    </row>
    <row r="2326" spans="1:11" ht="15.75" hidden="1" customHeight="1" x14ac:dyDescent="0.2">
      <c r="B2326" s="4" t="s">
        <v>8</v>
      </c>
      <c r="C2326" s="4" t="s">
        <v>170</v>
      </c>
      <c r="D2326" s="4" t="s">
        <v>88</v>
      </c>
      <c r="E2326" s="4" t="s">
        <v>5</v>
      </c>
      <c r="F2326" s="4" t="s">
        <v>169</v>
      </c>
      <c r="G2326" s="7" t="s">
        <v>11</v>
      </c>
      <c r="H2326" s="6" t="s">
        <v>11</v>
      </c>
      <c r="I2326" s="4" t="s">
        <v>10</v>
      </c>
      <c r="J2326" s="4" t="s">
        <v>20</v>
      </c>
      <c r="K2326" s="4" t="s">
        <v>0</v>
      </c>
    </row>
    <row r="2327" spans="1:11" ht="15.75" hidden="1" customHeight="1" x14ac:dyDescent="0.2">
      <c r="B2327" s="4" t="s">
        <v>8</v>
      </c>
      <c r="C2327" s="4" t="s">
        <v>150</v>
      </c>
      <c r="D2327" s="4" t="s">
        <v>150</v>
      </c>
      <c r="E2327" s="4" t="s">
        <v>23</v>
      </c>
      <c r="F2327" s="4" t="s">
        <v>168</v>
      </c>
      <c r="G2327" s="7" t="s">
        <v>11</v>
      </c>
      <c r="H2327" s="6" t="s">
        <v>11</v>
      </c>
      <c r="I2327" s="4" t="s">
        <v>10</v>
      </c>
      <c r="J2327" s="4" t="s">
        <v>20</v>
      </c>
      <c r="K2327" s="4" t="s">
        <v>0</v>
      </c>
    </row>
    <row r="2328" spans="1:11" ht="15.75" customHeight="1" x14ac:dyDescent="0.2">
      <c r="A2328" s="1">
        <v>284</v>
      </c>
      <c r="B2328" s="4" t="s">
        <v>8</v>
      </c>
      <c r="C2328" s="4" t="s">
        <v>111</v>
      </c>
      <c r="D2328" s="4" t="s">
        <v>24</v>
      </c>
      <c r="E2328" s="4" t="s">
        <v>55</v>
      </c>
      <c r="F2328" s="4" t="s">
        <v>167</v>
      </c>
      <c r="G2328" s="7" t="s">
        <v>3</v>
      </c>
      <c r="H2328" s="6" t="s">
        <v>3</v>
      </c>
      <c r="I2328" s="4" t="s">
        <v>10</v>
      </c>
      <c r="J2328" s="4" t="s">
        <v>15</v>
      </c>
      <c r="K2328" s="4" t="s">
        <v>0</v>
      </c>
    </row>
    <row r="2329" spans="1:11" ht="15.75" hidden="1" customHeight="1" x14ac:dyDescent="0.2">
      <c r="B2329" s="4" t="s">
        <v>8</v>
      </c>
      <c r="C2329" s="4" t="s">
        <v>89</v>
      </c>
      <c r="D2329" s="4" t="s">
        <v>88</v>
      </c>
      <c r="E2329" s="4" t="s">
        <v>17</v>
      </c>
      <c r="F2329" s="4" t="s">
        <v>166</v>
      </c>
      <c r="G2329" s="7" t="s">
        <v>11</v>
      </c>
      <c r="H2329" s="6" t="s">
        <v>11</v>
      </c>
      <c r="I2329" s="4" t="s">
        <v>10</v>
      </c>
      <c r="J2329" s="4" t="s">
        <v>15</v>
      </c>
      <c r="K2329" s="4" t="s">
        <v>0</v>
      </c>
    </row>
    <row r="2330" spans="1:11" ht="15.75" hidden="1" customHeight="1" x14ac:dyDescent="0.2">
      <c r="B2330" s="4" t="s">
        <v>8</v>
      </c>
      <c r="C2330" s="4" t="s">
        <v>150</v>
      </c>
      <c r="D2330" s="4" t="s">
        <v>150</v>
      </c>
      <c r="E2330" s="4" t="s">
        <v>23</v>
      </c>
      <c r="F2330" s="4" t="s">
        <v>165</v>
      </c>
      <c r="G2330" s="17" t="s">
        <v>11</v>
      </c>
      <c r="H2330" s="6" t="s">
        <v>11</v>
      </c>
      <c r="I2330" s="4" t="s">
        <v>10</v>
      </c>
      <c r="J2330" s="4" t="s">
        <v>15</v>
      </c>
      <c r="K2330" s="4" t="s">
        <v>0</v>
      </c>
    </row>
    <row r="2331" spans="1:11" ht="15.75" hidden="1" customHeight="1" x14ac:dyDescent="0.2">
      <c r="B2331" s="4" t="s">
        <v>8</v>
      </c>
      <c r="C2331" s="4" t="s">
        <v>164</v>
      </c>
      <c r="D2331" s="4" t="s">
        <v>88</v>
      </c>
      <c r="E2331" s="4" t="s">
        <v>5</v>
      </c>
      <c r="F2331" s="4" t="s">
        <v>163</v>
      </c>
      <c r="G2331" s="7" t="s">
        <v>11</v>
      </c>
      <c r="H2331" s="6" t="s">
        <v>11</v>
      </c>
      <c r="I2331" s="4" t="s">
        <v>10</v>
      </c>
      <c r="J2331" s="4" t="s">
        <v>9</v>
      </c>
      <c r="K2331" s="4" t="s">
        <v>0</v>
      </c>
    </row>
    <row r="2332" spans="1:11" ht="15.75" hidden="1" customHeight="1" x14ac:dyDescent="0.2">
      <c r="B2332" s="4" t="s">
        <v>8</v>
      </c>
      <c r="C2332" s="4" t="s">
        <v>104</v>
      </c>
      <c r="D2332" s="4" t="s">
        <v>18</v>
      </c>
      <c r="E2332" s="4" t="s">
        <v>5</v>
      </c>
      <c r="F2332" s="4" t="s">
        <v>162</v>
      </c>
      <c r="G2332" s="7" t="s">
        <v>11</v>
      </c>
      <c r="H2332" s="6" t="s">
        <v>11</v>
      </c>
      <c r="I2332" s="4" t="s">
        <v>10</v>
      </c>
      <c r="J2332" s="4" t="s">
        <v>15</v>
      </c>
      <c r="K2332" s="4" t="s">
        <v>0</v>
      </c>
    </row>
    <row r="2333" spans="1:11" ht="15.75" hidden="1" customHeight="1" x14ac:dyDescent="0.2">
      <c r="B2333" s="4" t="s">
        <v>8</v>
      </c>
      <c r="C2333" s="4" t="s">
        <v>89</v>
      </c>
      <c r="D2333" s="4" t="s">
        <v>88</v>
      </c>
      <c r="E2333" s="4" t="s">
        <v>159</v>
      </c>
      <c r="F2333" s="4" t="s">
        <v>161</v>
      </c>
      <c r="G2333" s="7" t="s">
        <v>11</v>
      </c>
      <c r="H2333" s="6" t="s">
        <v>11</v>
      </c>
      <c r="I2333" s="4" t="s">
        <v>10</v>
      </c>
      <c r="J2333" s="4" t="s">
        <v>9</v>
      </c>
      <c r="K2333" s="4" t="s">
        <v>0</v>
      </c>
    </row>
    <row r="2334" spans="1:11" ht="15.75" hidden="1" customHeight="1" x14ac:dyDescent="0.2">
      <c r="B2334" s="4" t="s">
        <v>8</v>
      </c>
      <c r="C2334" s="4" t="s">
        <v>132</v>
      </c>
      <c r="D2334" s="4" t="s">
        <v>97</v>
      </c>
      <c r="E2334" s="4" t="s">
        <v>17</v>
      </c>
      <c r="F2334" s="4" t="s">
        <v>160</v>
      </c>
      <c r="G2334" s="7" t="s">
        <v>11</v>
      </c>
      <c r="H2334" s="6" t="s">
        <v>11</v>
      </c>
      <c r="I2334" s="4" t="s">
        <v>10</v>
      </c>
      <c r="J2334" s="4" t="s">
        <v>20</v>
      </c>
      <c r="K2334" s="4" t="s">
        <v>0</v>
      </c>
    </row>
    <row r="2335" spans="1:11" ht="15.75" hidden="1" customHeight="1" x14ac:dyDescent="0.2">
      <c r="B2335" s="4" t="s">
        <v>8</v>
      </c>
      <c r="C2335" s="4" t="s">
        <v>89</v>
      </c>
      <c r="D2335" s="4" t="s">
        <v>88</v>
      </c>
      <c r="E2335" s="4" t="s">
        <v>159</v>
      </c>
      <c r="F2335" s="4" t="s">
        <v>158</v>
      </c>
      <c r="G2335" s="7" t="s">
        <v>11</v>
      </c>
      <c r="H2335" s="6" t="s">
        <v>11</v>
      </c>
      <c r="I2335" s="4" t="s">
        <v>10</v>
      </c>
      <c r="J2335" s="4" t="s">
        <v>157</v>
      </c>
      <c r="K2335" s="4" t="s">
        <v>0</v>
      </c>
    </row>
    <row r="2336" spans="1:11" ht="15.75" hidden="1" customHeight="1" x14ac:dyDescent="0.2">
      <c r="B2336" s="4" t="s">
        <v>8</v>
      </c>
      <c r="C2336" s="4" t="s">
        <v>104</v>
      </c>
      <c r="D2336" s="4" t="s">
        <v>18</v>
      </c>
      <c r="E2336" s="4" t="s">
        <v>5</v>
      </c>
      <c r="F2336" s="4" t="s">
        <v>156</v>
      </c>
      <c r="G2336" s="17" t="s">
        <v>11</v>
      </c>
      <c r="H2336" s="6" t="s">
        <v>11</v>
      </c>
      <c r="I2336" s="4" t="s">
        <v>10</v>
      </c>
      <c r="J2336" s="4" t="s">
        <v>20</v>
      </c>
      <c r="K2336" s="4" t="s">
        <v>0</v>
      </c>
    </row>
    <row r="2337" spans="1:11" ht="15.75" hidden="1" customHeight="1" x14ac:dyDescent="0.2">
      <c r="B2337" s="4" t="s">
        <v>8</v>
      </c>
      <c r="C2337" s="4" t="s">
        <v>155</v>
      </c>
      <c r="D2337" s="4" t="s">
        <v>154</v>
      </c>
      <c r="E2337" s="4" t="s">
        <v>17</v>
      </c>
      <c r="F2337" s="4" t="s">
        <v>153</v>
      </c>
      <c r="G2337" s="7" t="s">
        <v>11</v>
      </c>
      <c r="H2337" s="6" t="s">
        <v>11</v>
      </c>
      <c r="I2337" s="4" t="s">
        <v>10</v>
      </c>
      <c r="J2337" s="4" t="s">
        <v>20</v>
      </c>
      <c r="K2337" s="4" t="s">
        <v>0</v>
      </c>
    </row>
    <row r="2338" spans="1:11" ht="15.75" hidden="1" customHeight="1" x14ac:dyDescent="0.2">
      <c r="B2338" s="4" t="s">
        <v>8</v>
      </c>
      <c r="C2338" s="4" t="s">
        <v>104</v>
      </c>
      <c r="D2338" s="4" t="s">
        <v>18</v>
      </c>
      <c r="E2338" s="4" t="s">
        <v>17</v>
      </c>
      <c r="F2338" s="4" t="s">
        <v>152</v>
      </c>
      <c r="G2338" s="7" t="str">
        <f>HYPERLINK("https://www.facebook.com/100000507748060/posts/3353245464702345?sfns=mo","Social media")</f>
        <v>Social media</v>
      </c>
      <c r="H2338" s="6" t="s">
        <v>11</v>
      </c>
      <c r="I2338" s="4" t="s">
        <v>10</v>
      </c>
      <c r="J2338" s="4" t="s">
        <v>15</v>
      </c>
      <c r="K2338" s="4" t="s">
        <v>0</v>
      </c>
    </row>
    <row r="2339" spans="1:11" ht="15.75" hidden="1" customHeight="1" x14ac:dyDescent="0.2">
      <c r="B2339" s="4" t="s">
        <v>8</v>
      </c>
      <c r="C2339" s="4" t="s">
        <v>89</v>
      </c>
      <c r="D2339" s="4" t="s">
        <v>88</v>
      </c>
      <c r="E2339" s="4" t="s">
        <v>17</v>
      </c>
      <c r="F2339" s="4" t="s">
        <v>151</v>
      </c>
      <c r="G2339" s="7" t="s">
        <v>11</v>
      </c>
      <c r="H2339" s="6" t="s">
        <v>11</v>
      </c>
      <c r="I2339" s="4" t="s">
        <v>10</v>
      </c>
      <c r="J2339" s="4" t="s">
        <v>15</v>
      </c>
      <c r="K2339" s="4" t="s">
        <v>0</v>
      </c>
    </row>
    <row r="2340" spans="1:11" ht="15.75" hidden="1" customHeight="1" x14ac:dyDescent="0.2">
      <c r="B2340" s="4" t="s">
        <v>8</v>
      </c>
      <c r="C2340" s="4" t="s">
        <v>150</v>
      </c>
      <c r="D2340" s="4" t="s">
        <v>150</v>
      </c>
      <c r="E2340" s="4" t="s">
        <v>5</v>
      </c>
      <c r="F2340" s="4" t="s">
        <v>149</v>
      </c>
      <c r="G2340" s="7" t="s">
        <v>11</v>
      </c>
      <c r="H2340" s="6" t="s">
        <v>11</v>
      </c>
      <c r="I2340" s="4" t="s">
        <v>148</v>
      </c>
      <c r="J2340" s="4" t="s">
        <v>15</v>
      </c>
      <c r="K2340" s="4" t="s">
        <v>147</v>
      </c>
    </row>
    <row r="2341" spans="1:11" ht="15.75" hidden="1" customHeight="1" x14ac:dyDescent="0.2">
      <c r="B2341" s="4" t="s">
        <v>8</v>
      </c>
      <c r="C2341" s="4" t="s">
        <v>146</v>
      </c>
      <c r="D2341" s="4" t="s">
        <v>52</v>
      </c>
      <c r="E2341" s="4" t="s">
        <v>5</v>
      </c>
      <c r="F2341" s="4" t="s">
        <v>145</v>
      </c>
      <c r="G2341" s="7" t="s">
        <v>11</v>
      </c>
      <c r="H2341" s="6" t="s">
        <v>11</v>
      </c>
      <c r="I2341" s="4" t="s">
        <v>144</v>
      </c>
      <c r="J2341" s="4" t="s">
        <v>143</v>
      </c>
      <c r="K2341" s="4" t="s">
        <v>33</v>
      </c>
    </row>
    <row r="2342" spans="1:11" ht="15.75" customHeight="1" x14ac:dyDescent="0.2">
      <c r="A2342" s="1">
        <v>285</v>
      </c>
      <c r="B2342" s="4" t="s">
        <v>8</v>
      </c>
      <c r="C2342" s="4" t="s">
        <v>89</v>
      </c>
      <c r="D2342" s="4" t="s">
        <v>88</v>
      </c>
      <c r="E2342" s="4" t="s">
        <v>5</v>
      </c>
      <c r="F2342" s="4" t="s">
        <v>142</v>
      </c>
      <c r="G2342" s="7" t="s">
        <v>3</v>
      </c>
      <c r="H2342" s="6" t="s">
        <v>3</v>
      </c>
      <c r="I2342" s="4" t="s">
        <v>10</v>
      </c>
      <c r="J2342" s="4" t="s">
        <v>15</v>
      </c>
      <c r="K2342" s="4" t="s">
        <v>0</v>
      </c>
    </row>
    <row r="2343" spans="1:11" ht="15.75" hidden="1" customHeight="1" x14ac:dyDescent="0.2">
      <c r="B2343" s="4" t="s">
        <v>8</v>
      </c>
      <c r="C2343" s="4" t="s">
        <v>141</v>
      </c>
      <c r="D2343" s="4" t="s">
        <v>71</v>
      </c>
      <c r="E2343" s="4" t="s">
        <v>17</v>
      </c>
      <c r="F2343" s="4" t="s">
        <v>140</v>
      </c>
      <c r="G2343" s="7" t="s">
        <v>11</v>
      </c>
      <c r="H2343" s="6" t="s">
        <v>11</v>
      </c>
      <c r="I2343" s="4" t="s">
        <v>10</v>
      </c>
      <c r="J2343" s="4" t="s">
        <v>20</v>
      </c>
      <c r="K2343" s="4" t="s">
        <v>0</v>
      </c>
    </row>
    <row r="2344" spans="1:11" ht="15.75" hidden="1" customHeight="1" x14ac:dyDescent="0.2">
      <c r="B2344" s="4" t="s">
        <v>8</v>
      </c>
      <c r="C2344" s="4" t="s">
        <v>139</v>
      </c>
      <c r="D2344" s="4" t="s">
        <v>18</v>
      </c>
      <c r="E2344" s="4" t="s">
        <v>5</v>
      </c>
      <c r="F2344" s="4" t="s">
        <v>138</v>
      </c>
      <c r="G2344" s="7" t="str">
        <f>HYPERLINK("https://www.facebook.com/groups/677466299018247/permalink/2621899597908231?sfns=mo","Social media")</f>
        <v>Social media</v>
      </c>
      <c r="H2344" s="6" t="s">
        <v>11</v>
      </c>
      <c r="I2344" s="4" t="s">
        <v>10</v>
      </c>
      <c r="J2344" s="4" t="s">
        <v>15</v>
      </c>
      <c r="K2344" s="4" t="s">
        <v>0</v>
      </c>
    </row>
    <row r="2345" spans="1:11" ht="15.75" hidden="1" customHeight="1" x14ac:dyDescent="0.2">
      <c r="B2345" s="4" t="s">
        <v>8</v>
      </c>
      <c r="C2345" s="4" t="s">
        <v>137</v>
      </c>
      <c r="D2345" s="4" t="s">
        <v>71</v>
      </c>
      <c r="E2345" s="4" t="s">
        <v>17</v>
      </c>
      <c r="F2345" s="4" t="s">
        <v>136</v>
      </c>
      <c r="G2345" s="7" t="s">
        <v>11</v>
      </c>
      <c r="H2345" s="6" t="s">
        <v>11</v>
      </c>
      <c r="I2345" s="4" t="s">
        <v>10</v>
      </c>
      <c r="J2345" s="4" t="s">
        <v>15</v>
      </c>
      <c r="K2345" s="4" t="s">
        <v>0</v>
      </c>
    </row>
    <row r="2346" spans="1:11" ht="15.75" hidden="1" customHeight="1" x14ac:dyDescent="0.2">
      <c r="B2346" s="4" t="s">
        <v>8</v>
      </c>
      <c r="C2346" s="4" t="s">
        <v>132</v>
      </c>
      <c r="D2346" s="4" t="s">
        <v>97</v>
      </c>
      <c r="E2346" s="4" t="s">
        <v>17</v>
      </c>
      <c r="F2346" s="4" t="s">
        <v>135</v>
      </c>
      <c r="G2346" s="7" t="s">
        <v>11</v>
      </c>
      <c r="H2346" s="6" t="s">
        <v>11</v>
      </c>
      <c r="I2346" s="4" t="s">
        <v>10</v>
      </c>
      <c r="J2346" s="4" t="s">
        <v>20</v>
      </c>
      <c r="K2346" s="4" t="s">
        <v>0</v>
      </c>
    </row>
    <row r="2347" spans="1:11" ht="15.75" hidden="1" customHeight="1" x14ac:dyDescent="0.2">
      <c r="B2347" s="4" t="s">
        <v>8</v>
      </c>
      <c r="C2347" s="4" t="s">
        <v>89</v>
      </c>
      <c r="D2347" s="4" t="s">
        <v>88</v>
      </c>
      <c r="E2347" s="4" t="s">
        <v>5</v>
      </c>
      <c r="F2347" s="4" t="s">
        <v>134</v>
      </c>
      <c r="G2347" s="7" t="s">
        <v>11</v>
      </c>
      <c r="H2347" s="6" t="s">
        <v>11</v>
      </c>
      <c r="I2347" s="4" t="s">
        <v>10</v>
      </c>
      <c r="J2347" s="4" t="s">
        <v>82</v>
      </c>
      <c r="K2347" s="4" t="s">
        <v>0</v>
      </c>
    </row>
    <row r="2348" spans="1:11" ht="15.75" hidden="1" customHeight="1" x14ac:dyDescent="0.2">
      <c r="B2348" s="4" t="s">
        <v>8</v>
      </c>
      <c r="C2348" s="4" t="s">
        <v>132</v>
      </c>
      <c r="D2348" s="4" t="s">
        <v>97</v>
      </c>
      <c r="E2348" s="4" t="s">
        <v>23</v>
      </c>
      <c r="F2348" s="4" t="s">
        <v>133</v>
      </c>
      <c r="G2348" s="7" t="s">
        <v>11</v>
      </c>
      <c r="H2348" s="6" t="s">
        <v>11</v>
      </c>
      <c r="I2348" s="4" t="s">
        <v>10</v>
      </c>
      <c r="J2348" s="4" t="s">
        <v>20</v>
      </c>
      <c r="K2348" s="4" t="s">
        <v>0</v>
      </c>
    </row>
    <row r="2349" spans="1:11" ht="15.75" hidden="1" customHeight="1" x14ac:dyDescent="0.2">
      <c r="B2349" s="4" t="s">
        <v>8</v>
      </c>
      <c r="C2349" s="4" t="s">
        <v>132</v>
      </c>
      <c r="D2349" s="4" t="s">
        <v>97</v>
      </c>
      <c r="E2349" s="4" t="s">
        <v>23</v>
      </c>
      <c r="F2349" s="4" t="s">
        <v>131</v>
      </c>
      <c r="G2349" s="7" t="s">
        <v>11</v>
      </c>
      <c r="H2349" s="6" t="s">
        <v>11</v>
      </c>
      <c r="I2349" s="4" t="s">
        <v>10</v>
      </c>
      <c r="J2349" s="4" t="s">
        <v>20</v>
      </c>
      <c r="K2349" s="4" t="s">
        <v>0</v>
      </c>
    </row>
    <row r="2350" spans="1:11" ht="15.75" hidden="1" customHeight="1" x14ac:dyDescent="0.2">
      <c r="B2350" s="4" t="s">
        <v>8</v>
      </c>
      <c r="C2350" s="4" t="s">
        <v>130</v>
      </c>
      <c r="D2350" s="4" t="s">
        <v>77</v>
      </c>
      <c r="E2350" s="4" t="s">
        <v>5</v>
      </c>
      <c r="F2350" s="4" t="s">
        <v>129</v>
      </c>
      <c r="G2350" s="7" t="s">
        <v>11</v>
      </c>
      <c r="H2350" s="6" t="s">
        <v>11</v>
      </c>
      <c r="I2350" s="4" t="s">
        <v>10</v>
      </c>
      <c r="J2350" s="4" t="s">
        <v>15</v>
      </c>
      <c r="K2350" s="4" t="s">
        <v>0</v>
      </c>
    </row>
    <row r="2351" spans="1:11" ht="15.75" hidden="1" customHeight="1" x14ac:dyDescent="0.2">
      <c r="B2351" s="4" t="s">
        <v>8</v>
      </c>
      <c r="C2351" s="4" t="s">
        <v>89</v>
      </c>
      <c r="D2351" s="4" t="s">
        <v>88</v>
      </c>
      <c r="E2351" s="4" t="s">
        <v>17</v>
      </c>
      <c r="F2351" s="4" t="s">
        <v>128</v>
      </c>
      <c r="G2351" s="7" t="s">
        <v>11</v>
      </c>
      <c r="H2351" s="6" t="s">
        <v>11</v>
      </c>
      <c r="I2351" s="4" t="s">
        <v>10</v>
      </c>
      <c r="J2351" s="4" t="s">
        <v>15</v>
      </c>
      <c r="K2351" s="4" t="s">
        <v>0</v>
      </c>
    </row>
    <row r="2352" spans="1:11" ht="15.75" hidden="1" customHeight="1" x14ac:dyDescent="0.2">
      <c r="B2352" s="4" t="s">
        <v>8</v>
      </c>
      <c r="C2352" s="4" t="s">
        <v>89</v>
      </c>
      <c r="D2352" s="4" t="s">
        <v>88</v>
      </c>
      <c r="E2352" s="4" t="s">
        <v>17</v>
      </c>
      <c r="F2352" s="4" t="s">
        <v>127</v>
      </c>
      <c r="G2352" s="7" t="s">
        <v>11</v>
      </c>
      <c r="H2352" s="6" t="s">
        <v>11</v>
      </c>
      <c r="I2352" s="4" t="s">
        <v>10</v>
      </c>
      <c r="J2352" s="4" t="s">
        <v>15</v>
      </c>
      <c r="K2352" s="4" t="s">
        <v>0</v>
      </c>
    </row>
    <row r="2353" spans="1:11" ht="15.75" customHeight="1" x14ac:dyDescent="0.2">
      <c r="A2353" s="1">
        <v>286</v>
      </c>
      <c r="B2353" s="4" t="s">
        <v>8</v>
      </c>
      <c r="C2353" s="4" t="s">
        <v>104</v>
      </c>
      <c r="D2353" s="4" t="s">
        <v>18</v>
      </c>
      <c r="E2353" s="4" t="s">
        <v>81</v>
      </c>
      <c r="F2353" s="4" t="s">
        <v>126</v>
      </c>
      <c r="G2353" s="7" t="s">
        <v>3</v>
      </c>
      <c r="H2353" s="6" t="s">
        <v>3</v>
      </c>
      <c r="I2353" s="4" t="s">
        <v>10</v>
      </c>
      <c r="J2353" s="4" t="s">
        <v>15</v>
      </c>
      <c r="K2353" s="4" t="s">
        <v>0</v>
      </c>
    </row>
    <row r="2354" spans="1:11" ht="15.75" hidden="1" customHeight="1" x14ac:dyDescent="0.2">
      <c r="B2354" s="4" t="s">
        <v>8</v>
      </c>
      <c r="C2354" s="4" t="s">
        <v>125</v>
      </c>
      <c r="D2354" s="4" t="s">
        <v>66</v>
      </c>
      <c r="E2354" s="4" t="s">
        <v>5</v>
      </c>
      <c r="F2354" s="4" t="s">
        <v>124</v>
      </c>
      <c r="G2354" s="7" t="s">
        <v>11</v>
      </c>
      <c r="H2354" s="6" t="s">
        <v>11</v>
      </c>
      <c r="I2354" s="4" t="s">
        <v>10</v>
      </c>
      <c r="J2354" s="4" t="s">
        <v>20</v>
      </c>
      <c r="K2354" s="4" t="s">
        <v>75</v>
      </c>
    </row>
    <row r="2355" spans="1:11" ht="15.75" hidden="1" customHeight="1" x14ac:dyDescent="0.2">
      <c r="B2355" s="4" t="s">
        <v>8</v>
      </c>
      <c r="C2355" s="4" t="s">
        <v>122</v>
      </c>
      <c r="D2355" s="4" t="s">
        <v>47</v>
      </c>
      <c r="E2355" s="4" t="s">
        <v>5</v>
      </c>
      <c r="F2355" s="4" t="s">
        <v>123</v>
      </c>
      <c r="G2355" s="7" t="s">
        <v>11</v>
      </c>
      <c r="H2355" s="6" t="s">
        <v>11</v>
      </c>
      <c r="I2355" s="4" t="s">
        <v>10</v>
      </c>
      <c r="J2355" s="4" t="s">
        <v>20</v>
      </c>
      <c r="K2355" s="4" t="s">
        <v>75</v>
      </c>
    </row>
    <row r="2356" spans="1:11" ht="15.75" hidden="1" customHeight="1" x14ac:dyDescent="0.2">
      <c r="B2356" s="4" t="s">
        <v>8</v>
      </c>
      <c r="C2356" s="4" t="s">
        <v>122</v>
      </c>
      <c r="D2356" s="4" t="s">
        <v>47</v>
      </c>
      <c r="E2356" s="4" t="s">
        <v>17</v>
      </c>
      <c r="F2356" s="4" t="s">
        <v>121</v>
      </c>
      <c r="G2356" s="7" t="s">
        <v>11</v>
      </c>
      <c r="H2356" s="6" t="s">
        <v>11</v>
      </c>
      <c r="I2356" s="4" t="s">
        <v>10</v>
      </c>
      <c r="J2356" s="4" t="s">
        <v>15</v>
      </c>
      <c r="K2356" s="4" t="s">
        <v>75</v>
      </c>
    </row>
    <row r="2357" spans="1:11" ht="15.75" hidden="1" customHeight="1" x14ac:dyDescent="0.2">
      <c r="B2357" s="4" t="s">
        <v>8</v>
      </c>
      <c r="C2357" s="4" t="s">
        <v>104</v>
      </c>
      <c r="D2357" s="4" t="s">
        <v>18</v>
      </c>
      <c r="E2357" s="4" t="s">
        <v>17</v>
      </c>
      <c r="F2357" s="4" t="s">
        <v>120</v>
      </c>
      <c r="G2357" s="7" t="s">
        <v>11</v>
      </c>
      <c r="H2357" s="6" t="s">
        <v>11</v>
      </c>
      <c r="I2357" s="4" t="s">
        <v>10</v>
      </c>
      <c r="J2357" s="4" t="s">
        <v>15</v>
      </c>
      <c r="K2357" s="4" t="s">
        <v>0</v>
      </c>
    </row>
    <row r="2358" spans="1:11" ht="15.75" hidden="1" customHeight="1" x14ac:dyDescent="0.2">
      <c r="B2358" s="4" t="s">
        <v>8</v>
      </c>
      <c r="C2358" s="4" t="s">
        <v>89</v>
      </c>
      <c r="D2358" s="4" t="s">
        <v>88</v>
      </c>
      <c r="E2358" s="4" t="s">
        <v>17</v>
      </c>
      <c r="F2358" s="4" t="s">
        <v>119</v>
      </c>
      <c r="G2358" s="7" t="s">
        <v>11</v>
      </c>
      <c r="H2358" s="6" t="s">
        <v>11</v>
      </c>
      <c r="I2358" s="4" t="s">
        <v>10</v>
      </c>
      <c r="J2358" s="4" t="s">
        <v>15</v>
      </c>
      <c r="K2358" s="4" t="s">
        <v>0</v>
      </c>
    </row>
    <row r="2359" spans="1:11" ht="15.75" customHeight="1" x14ac:dyDescent="0.2">
      <c r="A2359" s="1">
        <v>287</v>
      </c>
      <c r="B2359" s="4" t="s">
        <v>8</v>
      </c>
      <c r="C2359" s="4" t="s">
        <v>118</v>
      </c>
      <c r="D2359" s="4" t="s">
        <v>36</v>
      </c>
      <c r="E2359" s="4" t="s">
        <v>5</v>
      </c>
      <c r="F2359" s="4" t="s">
        <v>117</v>
      </c>
      <c r="G2359" s="7" t="s">
        <v>3</v>
      </c>
      <c r="H2359" s="6" t="s">
        <v>3</v>
      </c>
      <c r="I2359" s="4" t="s">
        <v>21</v>
      </c>
      <c r="J2359" s="4" t="s">
        <v>20</v>
      </c>
      <c r="K2359" s="4" t="s">
        <v>64</v>
      </c>
    </row>
    <row r="2360" spans="1:11" ht="15.75" hidden="1" customHeight="1" x14ac:dyDescent="0.2">
      <c r="B2360" s="4" t="s">
        <v>8</v>
      </c>
      <c r="C2360" s="4" t="s">
        <v>89</v>
      </c>
      <c r="D2360" s="4" t="s">
        <v>88</v>
      </c>
      <c r="E2360" s="4" t="s">
        <v>17</v>
      </c>
      <c r="F2360" s="4" t="s">
        <v>116</v>
      </c>
      <c r="G2360" s="7" t="s">
        <v>11</v>
      </c>
      <c r="H2360" s="6" t="s">
        <v>11</v>
      </c>
      <c r="I2360" s="4" t="s">
        <v>10</v>
      </c>
      <c r="J2360" s="4" t="s">
        <v>15</v>
      </c>
      <c r="K2360" s="4" t="s">
        <v>0</v>
      </c>
    </row>
    <row r="2361" spans="1:11" ht="15.75" hidden="1" customHeight="1" x14ac:dyDescent="0.2">
      <c r="B2361" s="4" t="s">
        <v>8</v>
      </c>
      <c r="C2361" s="4" t="s">
        <v>89</v>
      </c>
      <c r="D2361" s="4" t="s">
        <v>88</v>
      </c>
      <c r="E2361" s="4" t="s">
        <v>5</v>
      </c>
      <c r="F2361" s="4" t="s">
        <v>115</v>
      </c>
      <c r="G2361" s="7" t="s">
        <v>11</v>
      </c>
      <c r="H2361" s="6" t="s">
        <v>11</v>
      </c>
      <c r="I2361" s="4" t="s">
        <v>10</v>
      </c>
      <c r="J2361" s="4" t="s">
        <v>20</v>
      </c>
      <c r="K2361" s="4" t="s">
        <v>0</v>
      </c>
    </row>
    <row r="2362" spans="1:11" ht="15.75" hidden="1" customHeight="1" x14ac:dyDescent="0.2">
      <c r="B2362" s="4" t="s">
        <v>8</v>
      </c>
      <c r="C2362" s="4" t="s">
        <v>89</v>
      </c>
      <c r="D2362" s="4" t="s">
        <v>88</v>
      </c>
      <c r="E2362" s="4" t="s">
        <v>23</v>
      </c>
      <c r="F2362" s="4" t="s">
        <v>114</v>
      </c>
      <c r="G2362" s="7" t="s">
        <v>11</v>
      </c>
      <c r="H2362" s="6" t="s">
        <v>11</v>
      </c>
      <c r="I2362" s="4" t="s">
        <v>10</v>
      </c>
      <c r="J2362" s="4" t="s">
        <v>15</v>
      </c>
      <c r="K2362" s="4" t="s">
        <v>0</v>
      </c>
    </row>
    <row r="2363" spans="1:11" ht="15.75" customHeight="1" x14ac:dyDescent="0.2">
      <c r="A2363" s="1">
        <v>288</v>
      </c>
      <c r="B2363" s="4" t="s">
        <v>8</v>
      </c>
      <c r="C2363" s="5" t="s">
        <v>113</v>
      </c>
      <c r="D2363" s="5" t="s">
        <v>66</v>
      </c>
      <c r="E2363" s="5" t="s">
        <v>55</v>
      </c>
      <c r="F2363" s="5" t="s">
        <v>112</v>
      </c>
      <c r="G2363" s="14" t="s">
        <v>3</v>
      </c>
      <c r="H2363" s="6" t="s">
        <v>3</v>
      </c>
      <c r="I2363" s="5" t="s">
        <v>109</v>
      </c>
      <c r="J2363" s="5" t="s">
        <v>82</v>
      </c>
      <c r="K2363" s="5" t="s">
        <v>108</v>
      </c>
    </row>
    <row r="2364" spans="1:11" ht="15.75" hidden="1" customHeight="1" x14ac:dyDescent="0.2">
      <c r="B2364" s="4" t="s">
        <v>8</v>
      </c>
      <c r="C2364" s="4" t="s">
        <v>111</v>
      </c>
      <c r="D2364" s="4" t="s">
        <v>24</v>
      </c>
      <c r="E2364" s="4" t="s">
        <v>5</v>
      </c>
      <c r="F2364" s="4" t="s">
        <v>110</v>
      </c>
      <c r="G2364" s="7" t="s">
        <v>11</v>
      </c>
      <c r="H2364" s="6" t="s">
        <v>11</v>
      </c>
      <c r="I2364" s="4" t="s">
        <v>109</v>
      </c>
      <c r="J2364" s="4" t="s">
        <v>82</v>
      </c>
      <c r="K2364" s="4" t="s">
        <v>108</v>
      </c>
    </row>
    <row r="2365" spans="1:11" ht="15.75" hidden="1" customHeight="1" x14ac:dyDescent="0.2">
      <c r="B2365" s="4" t="s">
        <v>8</v>
      </c>
      <c r="C2365" s="4" t="s">
        <v>89</v>
      </c>
      <c r="D2365" s="4" t="s">
        <v>88</v>
      </c>
      <c r="E2365" s="4" t="s">
        <v>5</v>
      </c>
      <c r="F2365" s="4" t="s">
        <v>107</v>
      </c>
      <c r="G2365" s="7" t="s">
        <v>11</v>
      </c>
      <c r="H2365" s="6" t="s">
        <v>11</v>
      </c>
      <c r="I2365" s="4" t="s">
        <v>30</v>
      </c>
      <c r="J2365" s="4" t="s">
        <v>20</v>
      </c>
      <c r="K2365" s="4" t="s">
        <v>75</v>
      </c>
    </row>
    <row r="2366" spans="1:11" ht="15.75" hidden="1" customHeight="1" x14ac:dyDescent="0.2">
      <c r="B2366" s="4" t="s">
        <v>8</v>
      </c>
      <c r="C2366" s="4" t="s">
        <v>106</v>
      </c>
      <c r="D2366" s="4" t="s">
        <v>88</v>
      </c>
      <c r="E2366" s="4" t="s">
        <v>17</v>
      </c>
      <c r="F2366" s="4" t="s">
        <v>105</v>
      </c>
      <c r="G2366" s="7" t="s">
        <v>11</v>
      </c>
      <c r="H2366" s="6" t="s">
        <v>11</v>
      </c>
      <c r="I2366" s="4" t="s">
        <v>2</v>
      </c>
      <c r="J2366" s="4" t="s">
        <v>20</v>
      </c>
      <c r="K2366" s="4" t="s">
        <v>0</v>
      </c>
    </row>
    <row r="2367" spans="1:11" ht="15.75" hidden="1" customHeight="1" x14ac:dyDescent="0.2">
      <c r="B2367" s="4" t="s">
        <v>8</v>
      </c>
      <c r="C2367" s="4" t="s">
        <v>104</v>
      </c>
      <c r="D2367" s="4" t="s">
        <v>18</v>
      </c>
      <c r="E2367" s="4" t="s">
        <v>17</v>
      </c>
      <c r="F2367" s="4" t="s">
        <v>103</v>
      </c>
      <c r="G2367" s="7" t="s">
        <v>11</v>
      </c>
      <c r="H2367" s="6" t="s">
        <v>11</v>
      </c>
      <c r="I2367" s="4" t="s">
        <v>10</v>
      </c>
      <c r="J2367" s="4" t="s">
        <v>15</v>
      </c>
      <c r="K2367" s="4" t="s">
        <v>0</v>
      </c>
    </row>
    <row r="2368" spans="1:11" ht="15.75" hidden="1" customHeight="1" x14ac:dyDescent="0.2">
      <c r="B2368" s="4" t="s">
        <v>8</v>
      </c>
      <c r="C2368" s="4" t="s">
        <v>102</v>
      </c>
      <c r="D2368" s="4" t="s">
        <v>18</v>
      </c>
      <c r="E2368" s="4" t="s">
        <v>17</v>
      </c>
      <c r="F2368" s="4" t="s">
        <v>101</v>
      </c>
      <c r="G2368" s="4" t="s">
        <v>100</v>
      </c>
      <c r="H2368" s="6" t="s">
        <v>11</v>
      </c>
      <c r="I2368" s="4" t="s">
        <v>10</v>
      </c>
      <c r="J2368" s="4" t="s">
        <v>15</v>
      </c>
      <c r="K2368" s="4" t="s">
        <v>0</v>
      </c>
    </row>
    <row r="2369" spans="1:11" ht="15.75" hidden="1" customHeight="1" x14ac:dyDescent="0.2">
      <c r="B2369" s="4" t="s">
        <v>8</v>
      </c>
      <c r="C2369" s="4"/>
      <c r="D2369" s="4"/>
      <c r="E2369" s="4" t="s">
        <v>17</v>
      </c>
      <c r="F2369" s="4" t="s">
        <v>99</v>
      </c>
      <c r="G2369" s="7" t="s">
        <v>11</v>
      </c>
      <c r="H2369" s="6" t="s">
        <v>11</v>
      </c>
      <c r="I2369" s="4" t="s">
        <v>10</v>
      </c>
      <c r="J2369" s="4" t="s">
        <v>15</v>
      </c>
      <c r="K2369" s="4" t="s">
        <v>0</v>
      </c>
    </row>
    <row r="2370" spans="1:11" ht="15.75" customHeight="1" x14ac:dyDescent="0.2">
      <c r="A2370" s="1">
        <v>289</v>
      </c>
      <c r="B2370" s="4" t="s">
        <v>8</v>
      </c>
      <c r="C2370" s="4" t="s">
        <v>98</v>
      </c>
      <c r="D2370" s="4" t="s">
        <v>97</v>
      </c>
      <c r="E2370" s="4" t="s">
        <v>27</v>
      </c>
      <c r="F2370" s="4" t="s">
        <v>96</v>
      </c>
      <c r="G2370" s="4" t="s">
        <v>3</v>
      </c>
      <c r="H2370" s="6" t="s">
        <v>3</v>
      </c>
      <c r="I2370" s="4" t="s">
        <v>10</v>
      </c>
      <c r="J2370" s="4" t="s">
        <v>20</v>
      </c>
      <c r="K2370" s="4" t="s">
        <v>0</v>
      </c>
    </row>
    <row r="2371" spans="1:11" ht="15.75" hidden="1" customHeight="1" x14ac:dyDescent="0.2">
      <c r="B2371" s="4" t="s">
        <v>8</v>
      </c>
      <c r="C2371" s="4" t="s">
        <v>95</v>
      </c>
      <c r="D2371" s="4" t="s">
        <v>94</v>
      </c>
      <c r="E2371" s="4" t="s">
        <v>17</v>
      </c>
      <c r="F2371" s="4" t="s">
        <v>93</v>
      </c>
      <c r="G2371" s="7" t="s">
        <v>11</v>
      </c>
      <c r="H2371" s="6" t="s">
        <v>11</v>
      </c>
      <c r="I2371" s="4" t="s">
        <v>10</v>
      </c>
      <c r="J2371" s="4" t="s">
        <v>92</v>
      </c>
      <c r="K2371" s="4" t="s">
        <v>57</v>
      </c>
    </row>
    <row r="2372" spans="1:11" ht="15.75" hidden="1" customHeight="1" x14ac:dyDescent="0.2">
      <c r="B2372" s="4" t="s">
        <v>8</v>
      </c>
      <c r="C2372" s="4" t="s">
        <v>91</v>
      </c>
      <c r="D2372" s="4" t="s">
        <v>42</v>
      </c>
      <c r="E2372" s="4" t="s">
        <v>17</v>
      </c>
      <c r="F2372" s="4" t="s">
        <v>90</v>
      </c>
      <c r="G2372" s="7" t="s">
        <v>11</v>
      </c>
      <c r="H2372" s="6" t="s">
        <v>11</v>
      </c>
      <c r="I2372" s="4" t="s">
        <v>10</v>
      </c>
      <c r="J2372" s="4" t="s">
        <v>20</v>
      </c>
      <c r="K2372" s="4" t="s">
        <v>0</v>
      </c>
    </row>
    <row r="2373" spans="1:11" ht="15.75" customHeight="1" x14ac:dyDescent="0.2">
      <c r="A2373" s="1">
        <v>290</v>
      </c>
      <c r="B2373" s="4" t="s">
        <v>8</v>
      </c>
      <c r="C2373" s="4" t="s">
        <v>89</v>
      </c>
      <c r="D2373" s="4" t="s">
        <v>88</v>
      </c>
      <c r="E2373" s="4" t="s">
        <v>23</v>
      </c>
      <c r="F2373" s="4" t="s">
        <v>87</v>
      </c>
      <c r="G2373" s="7" t="s">
        <v>3</v>
      </c>
      <c r="H2373" s="6" t="s">
        <v>3</v>
      </c>
      <c r="I2373" s="4" t="s">
        <v>86</v>
      </c>
      <c r="J2373" s="4" t="s">
        <v>15</v>
      </c>
      <c r="K2373" s="4" t="s">
        <v>85</v>
      </c>
    </row>
    <row r="2374" spans="1:11" ht="15.75" customHeight="1" x14ac:dyDescent="0.2">
      <c r="A2374" s="1">
        <v>291</v>
      </c>
      <c r="B2374" s="4" t="s">
        <v>8</v>
      </c>
      <c r="C2374" s="4" t="s">
        <v>84</v>
      </c>
      <c r="D2374" s="4" t="s">
        <v>52</v>
      </c>
      <c r="E2374" s="4" t="s">
        <v>81</v>
      </c>
      <c r="F2374" s="4" t="s">
        <v>83</v>
      </c>
      <c r="G2374" s="7" t="s">
        <v>3</v>
      </c>
      <c r="H2374" s="6" t="s">
        <v>3</v>
      </c>
      <c r="I2374" s="4" t="s">
        <v>10</v>
      </c>
      <c r="J2374" s="4" t="s">
        <v>82</v>
      </c>
      <c r="K2374" s="4" t="s">
        <v>57</v>
      </c>
    </row>
    <row r="2375" spans="1:11" s="16" customFormat="1" ht="15.75" customHeight="1" x14ac:dyDescent="0.2">
      <c r="A2375" s="16">
        <v>292</v>
      </c>
      <c r="B2375" s="4" t="s">
        <v>8</v>
      </c>
      <c r="C2375" s="11" t="s">
        <v>53</v>
      </c>
      <c r="D2375" s="11" t="s">
        <v>52</v>
      </c>
      <c r="E2375" s="11" t="s">
        <v>81</v>
      </c>
      <c r="F2375" s="11" t="s">
        <v>80</v>
      </c>
      <c r="G2375" s="12" t="s">
        <v>3</v>
      </c>
      <c r="H2375" s="6" t="s">
        <v>3</v>
      </c>
      <c r="I2375" s="11" t="s">
        <v>79</v>
      </c>
      <c r="J2375" s="11" t="s">
        <v>20</v>
      </c>
      <c r="K2375" s="11" t="s">
        <v>0</v>
      </c>
    </row>
    <row r="2376" spans="1:11" ht="15.75" customHeight="1" x14ac:dyDescent="0.2">
      <c r="A2376" s="1">
        <v>293</v>
      </c>
      <c r="B2376" s="4" t="s">
        <v>8</v>
      </c>
      <c r="C2376" s="4" t="s">
        <v>78</v>
      </c>
      <c r="D2376" s="4" t="s">
        <v>77</v>
      </c>
      <c r="E2376" s="4" t="s">
        <v>27</v>
      </c>
      <c r="F2376" s="4" t="s">
        <v>76</v>
      </c>
      <c r="G2376" s="7" t="s">
        <v>3</v>
      </c>
      <c r="H2376" s="6" t="s">
        <v>3</v>
      </c>
      <c r="I2376" s="4" t="s">
        <v>10</v>
      </c>
      <c r="J2376" s="4" t="s">
        <v>20</v>
      </c>
      <c r="K2376" s="4" t="s">
        <v>75</v>
      </c>
    </row>
    <row r="2377" spans="1:11" ht="15" customHeight="1" x14ac:dyDescent="0.2">
      <c r="A2377" s="1">
        <v>294</v>
      </c>
      <c r="B2377" s="4" t="s">
        <v>8</v>
      </c>
      <c r="C2377" s="3" t="s">
        <v>74</v>
      </c>
      <c r="D2377" s="3" t="s">
        <v>52</v>
      </c>
      <c r="E2377" s="3" t="s">
        <v>23</v>
      </c>
      <c r="F2377" s="3" t="s">
        <v>73</v>
      </c>
      <c r="G2377" s="15" t="s">
        <v>3</v>
      </c>
      <c r="H2377" s="6" t="s">
        <v>3</v>
      </c>
      <c r="I2377" s="3" t="s">
        <v>10</v>
      </c>
      <c r="J2377" s="3" t="s">
        <v>20</v>
      </c>
      <c r="K2377" s="3" t="s">
        <v>0</v>
      </c>
    </row>
    <row r="2378" spans="1:11" ht="15" hidden="1" customHeight="1" x14ac:dyDescent="0.2">
      <c r="B2378" s="4" t="s">
        <v>8</v>
      </c>
      <c r="C2378" s="4" t="s">
        <v>72</v>
      </c>
      <c r="D2378" s="4" t="s">
        <v>71</v>
      </c>
      <c r="E2378" s="4" t="s">
        <v>5</v>
      </c>
      <c r="F2378" s="4" t="s">
        <v>70</v>
      </c>
      <c r="G2378" s="7" t="s">
        <v>11</v>
      </c>
      <c r="H2378" s="6" t="s">
        <v>11</v>
      </c>
      <c r="I2378" s="4" t="s">
        <v>10</v>
      </c>
      <c r="J2378" s="4" t="s">
        <v>20</v>
      </c>
      <c r="K2378" s="4" t="s">
        <v>0</v>
      </c>
    </row>
    <row r="2379" spans="1:11" ht="15" hidden="1" customHeight="1" x14ac:dyDescent="0.2">
      <c r="B2379" s="4" t="s">
        <v>8</v>
      </c>
      <c r="C2379" s="4" t="s">
        <v>69</v>
      </c>
      <c r="D2379" s="4" t="s">
        <v>42</v>
      </c>
      <c r="E2379" s="4" t="s">
        <v>5</v>
      </c>
      <c r="F2379" s="4" t="s">
        <v>68</v>
      </c>
      <c r="G2379" s="7" t="s">
        <v>11</v>
      </c>
      <c r="H2379" s="6" t="s">
        <v>11</v>
      </c>
      <c r="I2379" s="4" t="s">
        <v>10</v>
      </c>
      <c r="J2379" s="4" t="s">
        <v>20</v>
      </c>
      <c r="K2379" s="4" t="s">
        <v>0</v>
      </c>
    </row>
    <row r="2380" spans="1:11" ht="15" customHeight="1" x14ac:dyDescent="0.2">
      <c r="A2380" s="1">
        <v>295</v>
      </c>
      <c r="B2380" s="4" t="s">
        <v>8</v>
      </c>
      <c r="C2380" s="4" t="s">
        <v>67</v>
      </c>
      <c r="D2380" s="4" t="s">
        <v>66</v>
      </c>
      <c r="E2380" s="4" t="s">
        <v>23</v>
      </c>
      <c r="F2380" s="4" t="s">
        <v>65</v>
      </c>
      <c r="G2380" s="7" t="s">
        <v>3</v>
      </c>
      <c r="H2380" s="6" t="s">
        <v>3</v>
      </c>
      <c r="I2380" s="4" t="s">
        <v>21</v>
      </c>
      <c r="J2380" s="4" t="s">
        <v>20</v>
      </c>
      <c r="K2380" s="4" t="s">
        <v>64</v>
      </c>
    </row>
    <row r="2381" spans="1:11" ht="15" customHeight="1" x14ac:dyDescent="0.2">
      <c r="A2381" s="1">
        <v>296</v>
      </c>
      <c r="B2381" s="4" t="s">
        <v>8</v>
      </c>
      <c r="C2381" s="4" t="s">
        <v>63</v>
      </c>
      <c r="D2381" s="4" t="s">
        <v>62</v>
      </c>
      <c r="E2381" s="4" t="s">
        <v>27</v>
      </c>
      <c r="F2381" s="4" t="s">
        <v>61</v>
      </c>
      <c r="G2381" s="7" t="s">
        <v>3</v>
      </c>
      <c r="H2381" s="6" t="s">
        <v>3</v>
      </c>
      <c r="I2381" s="4" t="s">
        <v>10</v>
      </c>
      <c r="J2381" s="4" t="s">
        <v>20</v>
      </c>
      <c r="K2381" s="4" t="s">
        <v>0</v>
      </c>
    </row>
    <row r="2382" spans="1:11" ht="15" customHeight="1" x14ac:dyDescent="0.2">
      <c r="A2382" s="1">
        <v>297</v>
      </c>
      <c r="B2382" s="4" t="s">
        <v>8</v>
      </c>
      <c r="C2382" s="4" t="s">
        <v>60</v>
      </c>
      <c r="D2382" s="4" t="s">
        <v>59</v>
      </c>
      <c r="E2382" s="4" t="s">
        <v>27</v>
      </c>
      <c r="F2382" s="4" t="s">
        <v>58</v>
      </c>
      <c r="G2382" s="7" t="s">
        <v>3</v>
      </c>
      <c r="H2382" s="6" t="s">
        <v>3</v>
      </c>
      <c r="I2382" s="4" t="s">
        <v>10</v>
      </c>
      <c r="J2382" s="4" t="s">
        <v>15</v>
      </c>
      <c r="K2382" s="4" t="s">
        <v>57</v>
      </c>
    </row>
    <row r="2383" spans="1:11" ht="15" customHeight="1" x14ac:dyDescent="0.2">
      <c r="A2383" s="1">
        <v>298</v>
      </c>
      <c r="B2383" s="4" t="s">
        <v>8</v>
      </c>
      <c r="C2383" s="4" t="s">
        <v>56</v>
      </c>
      <c r="D2383" s="4" t="s">
        <v>18</v>
      </c>
      <c r="E2383" s="4" t="s">
        <v>55</v>
      </c>
      <c r="F2383" s="4" t="s">
        <v>54</v>
      </c>
      <c r="G2383" s="7" t="s">
        <v>3</v>
      </c>
      <c r="H2383" s="6" t="s">
        <v>3</v>
      </c>
      <c r="I2383" s="4" t="s">
        <v>10</v>
      </c>
      <c r="J2383" s="4" t="s">
        <v>15</v>
      </c>
      <c r="K2383" s="4" t="s">
        <v>0</v>
      </c>
    </row>
    <row r="2384" spans="1:11" ht="15" customHeight="1" x14ac:dyDescent="0.2">
      <c r="A2384" s="1">
        <v>299</v>
      </c>
      <c r="B2384" s="4" t="s">
        <v>8</v>
      </c>
      <c r="C2384" s="4" t="s">
        <v>53</v>
      </c>
      <c r="D2384" s="4" t="s">
        <v>52</v>
      </c>
      <c r="E2384" s="4" t="s">
        <v>17</v>
      </c>
      <c r="F2384" s="4" t="s">
        <v>51</v>
      </c>
      <c r="G2384" s="7" t="s">
        <v>3</v>
      </c>
      <c r="H2384" s="6" t="s">
        <v>3</v>
      </c>
      <c r="I2384" s="4" t="s">
        <v>21</v>
      </c>
      <c r="J2384" s="4" t="s">
        <v>50</v>
      </c>
      <c r="K2384" s="4" t="s">
        <v>49</v>
      </c>
    </row>
    <row r="2385" spans="1:11" ht="15" customHeight="1" x14ac:dyDescent="0.2">
      <c r="A2385" s="1">
        <v>300</v>
      </c>
      <c r="B2385" s="4" t="s">
        <v>8</v>
      </c>
      <c r="C2385" s="11" t="s">
        <v>48</v>
      </c>
      <c r="D2385" s="11" t="s">
        <v>47</v>
      </c>
      <c r="E2385" s="11" t="s">
        <v>23</v>
      </c>
      <c r="F2385" s="11" t="s">
        <v>46</v>
      </c>
      <c r="G2385" s="12" t="s">
        <v>3</v>
      </c>
      <c r="H2385" s="6" t="s">
        <v>3</v>
      </c>
      <c r="I2385" s="11" t="s">
        <v>21</v>
      </c>
      <c r="J2385" s="11" t="s">
        <v>20</v>
      </c>
      <c r="K2385" s="11" t="s">
        <v>45</v>
      </c>
    </row>
    <row r="2386" spans="1:11" ht="15" hidden="1" customHeight="1" x14ac:dyDescent="0.2">
      <c r="B2386" s="4" t="s">
        <v>8</v>
      </c>
      <c r="C2386" s="4" t="s">
        <v>43</v>
      </c>
      <c r="D2386" s="4" t="s">
        <v>42</v>
      </c>
      <c r="E2386" s="3" t="s">
        <v>5</v>
      </c>
      <c r="F2386" s="3" t="s">
        <v>44</v>
      </c>
      <c r="G2386" s="15" t="s">
        <v>40</v>
      </c>
      <c r="H2386" s="6" t="s">
        <v>11</v>
      </c>
      <c r="I2386" s="3" t="s">
        <v>10</v>
      </c>
      <c r="J2386" s="3" t="s">
        <v>20</v>
      </c>
      <c r="K2386" s="3" t="s">
        <v>0</v>
      </c>
    </row>
    <row r="2387" spans="1:11" ht="15" hidden="1" customHeight="1" x14ac:dyDescent="0.2">
      <c r="B2387" s="4" t="s">
        <v>8</v>
      </c>
      <c r="C2387" s="4" t="s">
        <v>43</v>
      </c>
      <c r="D2387" s="4" t="s">
        <v>42</v>
      </c>
      <c r="E2387" s="4" t="s">
        <v>5</v>
      </c>
      <c r="F2387" s="4" t="s">
        <v>41</v>
      </c>
      <c r="G2387" s="14" t="s">
        <v>40</v>
      </c>
      <c r="H2387" s="6" t="s">
        <v>11</v>
      </c>
      <c r="I2387" s="4" t="s">
        <v>10</v>
      </c>
      <c r="J2387" s="5" t="s">
        <v>20</v>
      </c>
      <c r="K2387" s="4" t="s">
        <v>0</v>
      </c>
    </row>
    <row r="2388" spans="1:11" ht="15" customHeight="1" x14ac:dyDescent="0.2">
      <c r="A2388" s="1">
        <v>301</v>
      </c>
      <c r="B2388" s="4" t="s">
        <v>8</v>
      </c>
      <c r="C2388" s="8" t="s">
        <v>39</v>
      </c>
      <c r="D2388" s="8" t="s">
        <v>18</v>
      </c>
      <c r="E2388" s="8" t="s">
        <v>23</v>
      </c>
      <c r="F2388" s="8" t="s">
        <v>38</v>
      </c>
      <c r="G2388" s="9" t="s">
        <v>3</v>
      </c>
      <c r="H2388" s="6" t="s">
        <v>3</v>
      </c>
      <c r="I2388" s="8" t="s">
        <v>30</v>
      </c>
      <c r="J2388" s="8" t="s">
        <v>20</v>
      </c>
      <c r="K2388" s="8" t="s">
        <v>0</v>
      </c>
    </row>
    <row r="2389" spans="1:11" ht="15" customHeight="1" x14ac:dyDescent="0.2">
      <c r="A2389" s="1">
        <v>302</v>
      </c>
      <c r="B2389" s="4" t="s">
        <v>8</v>
      </c>
      <c r="C2389" s="8" t="s">
        <v>37</v>
      </c>
      <c r="D2389" s="8" t="s">
        <v>36</v>
      </c>
      <c r="E2389" s="8" t="s">
        <v>17</v>
      </c>
      <c r="F2389" s="8" t="s">
        <v>35</v>
      </c>
      <c r="G2389" s="9" t="s">
        <v>3</v>
      </c>
      <c r="H2389" s="6" t="s">
        <v>3</v>
      </c>
      <c r="I2389" s="8" t="s">
        <v>30</v>
      </c>
      <c r="J2389" s="8" t="s">
        <v>15</v>
      </c>
      <c r="K2389" s="8" t="s">
        <v>34</v>
      </c>
    </row>
    <row r="2390" spans="1:11" ht="15" customHeight="1" x14ac:dyDescent="0.2">
      <c r="A2390" s="1">
        <v>303</v>
      </c>
      <c r="B2390" s="4" t="s">
        <v>8</v>
      </c>
      <c r="C2390" s="8" t="s">
        <v>32</v>
      </c>
      <c r="D2390" s="8" t="s">
        <v>18</v>
      </c>
      <c r="E2390" s="8" t="s">
        <v>23</v>
      </c>
      <c r="F2390" s="8" t="s">
        <v>31</v>
      </c>
      <c r="G2390" s="9" t="s">
        <v>3</v>
      </c>
      <c r="H2390" s="6" t="s">
        <v>3</v>
      </c>
      <c r="I2390" s="8" t="s">
        <v>30</v>
      </c>
      <c r="J2390" s="8" t="s">
        <v>20</v>
      </c>
      <c r="K2390" s="8" t="s">
        <v>0</v>
      </c>
    </row>
    <row r="2391" spans="1:11" ht="15" customHeight="1" x14ac:dyDescent="0.2">
      <c r="A2391" s="1">
        <v>304</v>
      </c>
      <c r="B2391" s="4" t="s">
        <v>8</v>
      </c>
      <c r="C2391" s="11" t="s">
        <v>29</v>
      </c>
      <c r="D2391" s="11" t="s">
        <v>28</v>
      </c>
      <c r="E2391" s="11" t="s">
        <v>27</v>
      </c>
      <c r="F2391" s="13" t="s">
        <v>26</v>
      </c>
      <c r="G2391" s="12" t="s">
        <v>3</v>
      </c>
      <c r="H2391" s="6" t="s">
        <v>3</v>
      </c>
      <c r="I2391" s="4" t="s">
        <v>10</v>
      </c>
      <c r="J2391" s="5" t="s">
        <v>20</v>
      </c>
      <c r="K2391" s="4" t="s">
        <v>0</v>
      </c>
    </row>
    <row r="2392" spans="1:11" ht="15" customHeight="1" x14ac:dyDescent="0.2">
      <c r="A2392" s="1">
        <v>305</v>
      </c>
      <c r="B2392" s="4" t="s">
        <v>8</v>
      </c>
      <c r="C2392" s="8" t="s">
        <v>25</v>
      </c>
      <c r="D2392" s="8" t="s">
        <v>24</v>
      </c>
      <c r="E2392" s="8" t="s">
        <v>23</v>
      </c>
      <c r="F2392" s="10" t="s">
        <v>22</v>
      </c>
      <c r="G2392" s="9" t="s">
        <v>3</v>
      </c>
      <c r="H2392" s="6" t="s">
        <v>3</v>
      </c>
      <c r="I2392" s="8" t="s">
        <v>21</v>
      </c>
      <c r="J2392" s="8" t="s">
        <v>20</v>
      </c>
      <c r="K2392" s="8" t="s">
        <v>19</v>
      </c>
    </row>
    <row r="2393" spans="1:11" ht="15" hidden="1" customHeight="1" x14ac:dyDescent="0.2">
      <c r="B2393" s="4" t="s">
        <v>8</v>
      </c>
      <c r="C2393" s="4"/>
      <c r="D2393" s="4" t="s">
        <v>18</v>
      </c>
      <c r="E2393" s="4" t="s">
        <v>17</v>
      </c>
      <c r="F2393" s="4" t="s">
        <v>16</v>
      </c>
      <c r="G2393" s="7" t="s">
        <v>11</v>
      </c>
      <c r="H2393" s="6" t="s">
        <v>11</v>
      </c>
      <c r="I2393" s="4" t="s">
        <v>10</v>
      </c>
      <c r="J2393" s="4" t="s">
        <v>15</v>
      </c>
      <c r="K2393" s="4" t="s">
        <v>0</v>
      </c>
    </row>
    <row r="2394" spans="1:11" ht="15" hidden="1" customHeight="1" x14ac:dyDescent="0.2">
      <c r="B2394" s="4" t="s">
        <v>8</v>
      </c>
      <c r="C2394" s="4" t="s">
        <v>14</v>
      </c>
      <c r="D2394" s="4" t="s">
        <v>13</v>
      </c>
      <c r="E2394" s="4" t="s">
        <v>5</v>
      </c>
      <c r="F2394" s="4" t="s">
        <v>12</v>
      </c>
      <c r="G2394" s="7" t="s">
        <v>11</v>
      </c>
      <c r="H2394" s="6" t="s">
        <v>11</v>
      </c>
      <c r="I2394" s="4" t="s">
        <v>10</v>
      </c>
      <c r="J2394" s="4" t="s">
        <v>9</v>
      </c>
      <c r="K2394" s="4" t="s">
        <v>0</v>
      </c>
    </row>
    <row r="2395" spans="1:11" ht="15" customHeight="1" x14ac:dyDescent="0.2">
      <c r="A2395" s="1">
        <v>306</v>
      </c>
      <c r="B2395" s="4" t="s">
        <v>8</v>
      </c>
      <c r="C2395" s="4" t="s">
        <v>7</v>
      </c>
      <c r="D2395" s="4" t="s">
        <v>6</v>
      </c>
      <c r="E2395" s="4" t="s">
        <v>5</v>
      </c>
      <c r="F2395" s="4" t="s">
        <v>4</v>
      </c>
      <c r="G2395" s="7" t="s">
        <v>3</v>
      </c>
      <c r="H2395" s="6" t="s">
        <v>3</v>
      </c>
      <c r="I2395" s="4" t="s">
        <v>2</v>
      </c>
      <c r="J2395" s="4" t="s">
        <v>1</v>
      </c>
      <c r="K2395" s="4" t="s">
        <v>0</v>
      </c>
    </row>
  </sheetData>
  <autoFilter ref="B1:K2395" xr:uid="{140A7F85-A5B6-A74C-9101-5E7D75E9B05E}">
    <filterColumn colId="0">
      <filters>
        <filter val="4. Assault"/>
      </filters>
    </filterColumn>
    <filterColumn colId="5">
      <filters>
        <filter val="News"/>
        <filter val="News_x000a_"/>
        <filter val="News."/>
      </filters>
    </filterColumn>
  </autoFilter>
  <conditionalFormatting sqref="F2376:F1048576 F1:F2374">
    <cfRule type="duplicateValues" dxfId="2" priority="3"/>
  </conditionalFormatting>
  <conditionalFormatting sqref="F1:F1048576">
    <cfRule type="duplicateValues" dxfId="1" priority="1"/>
    <cfRule type="duplicateValues" dxfId="0" priority="2"/>
  </conditionalFormatting>
  <hyperlinks>
    <hyperlink ref="G4" r:id="rId1" xr:uid="{FBD9B914-6CB0-234E-9766-448D7FF2383B}"/>
    <hyperlink ref="G5" r:id="rId2" xr:uid="{241FFA3F-9150-1A4B-890E-860D4268B265}"/>
    <hyperlink ref="G6" r:id="rId3" xr:uid="{DAF77AFE-276F-104A-A708-4CBB00B60D96}"/>
    <hyperlink ref="G9" r:id="rId4" xr:uid="{DA544FA7-49E1-A64C-AB1B-13E4991BE1E4}"/>
    <hyperlink ref="G12" r:id="rId5" xr:uid="{63798372-FAED-9040-A933-27DAAEAE941B}"/>
    <hyperlink ref="G19" r:id="rId6" xr:uid="{46E30184-BDD0-824D-8DD6-6583ACE715C3}"/>
    <hyperlink ref="G20" r:id="rId7" xr:uid="{3ECBE9CA-01E9-9F4D-9A74-D39DDFDFB7CC}"/>
    <hyperlink ref="G25" r:id="rId8" xr:uid="{BE24C049-2B40-1142-ABF4-A5B11313ED47}"/>
    <hyperlink ref="G37" r:id="rId9" xr:uid="{F030549B-5E36-E94A-B416-73DAA3B0C004}"/>
    <hyperlink ref="G41" r:id="rId10" xr:uid="{11DEE3D3-9443-A648-91D3-8BFC1482BE17}"/>
    <hyperlink ref="G43" r:id="rId11" xr:uid="{B2E50DD5-76A0-F342-8082-257551230CAF}"/>
    <hyperlink ref="G45" r:id="rId12" xr:uid="{94B23EB9-F5BF-BC4F-9F82-6E53DD8ADC35}"/>
    <hyperlink ref="G46" r:id="rId13" xr:uid="{4F43855F-F990-B44D-9B7E-4D140EAC3469}"/>
    <hyperlink ref="G47" r:id="rId14" xr:uid="{30D1F2E8-1AA2-AB44-8AFE-FE44BD408F6A}"/>
    <hyperlink ref="G51" r:id="rId15" xr:uid="{CC0DDAD1-ED04-D048-9AAC-764863D1BFA5}"/>
    <hyperlink ref="G52" r:id="rId16" xr:uid="{CC7F4BF2-99A3-EF41-948A-926EE3C9B997}"/>
    <hyperlink ref="G53" r:id="rId17" xr:uid="{034939EF-2E32-654A-A1D7-FA6477B1B881}"/>
    <hyperlink ref="G54" r:id="rId18" xr:uid="{CA04006E-01C3-514D-B18A-956B216CFFBB}"/>
    <hyperlink ref="G55" r:id="rId19" xr:uid="{AC0B3B1D-6C1F-4F4B-BD9F-D42323CC3690}"/>
    <hyperlink ref="G57" r:id="rId20" xr:uid="{21F27D32-FCEE-EC47-BB7F-9C7224D6A02E}"/>
    <hyperlink ref="G60" r:id="rId21" xr:uid="{E80C081B-F074-AC4D-B610-D4DBC2592CFF}"/>
    <hyperlink ref="G62" r:id="rId22" xr:uid="{A2F53832-F0D4-F947-B5FA-955CD30D74BA}"/>
    <hyperlink ref="G64" r:id="rId23" xr:uid="{72FD1FE4-F9A5-1440-8065-7561217F7528}"/>
    <hyperlink ref="G71" r:id="rId24" xr:uid="{6A9A1604-4353-254A-82AF-6EC6B3E0FDCB}"/>
    <hyperlink ref="G74" r:id="rId25" xr:uid="{4A7455E8-1C3E-B043-81BF-3AB8E234628A}"/>
    <hyperlink ref="G80" r:id="rId26" xr:uid="{EF2DE595-21CD-8945-93ED-FFEDB44173B9}"/>
    <hyperlink ref="G81" r:id="rId27" xr:uid="{83A25EA7-CF96-644C-9555-A0BDFBC0DF04}"/>
    <hyperlink ref="G82" r:id="rId28" xr:uid="{E243906C-8AA6-5D40-BD21-8B5AC9CE5FA0}"/>
    <hyperlink ref="G86" r:id="rId29" xr:uid="{C96C1741-FDB5-1B46-BCF3-B7222389A921}"/>
    <hyperlink ref="G88" r:id="rId30" xr:uid="{87475D5A-80CE-E84D-8FB1-7A6FBC8642EE}"/>
    <hyperlink ref="G93" r:id="rId31" xr:uid="{95594BD0-0CFC-7A47-B6E7-B6D9807FF1D4}"/>
    <hyperlink ref="G95" r:id="rId32" xr:uid="{976D7B3E-4EC3-5840-BE26-98C5E6BE1472}"/>
    <hyperlink ref="G100" r:id="rId33" xr:uid="{91505492-F023-C64E-9725-56F59520CB92}"/>
    <hyperlink ref="G101" r:id="rId34" xr:uid="{C0A88794-140F-A044-9252-224A9D8CEA1A}"/>
    <hyperlink ref="G105" r:id="rId35" xr:uid="{AE224763-B64B-3340-8885-BDA550C17F7D}"/>
    <hyperlink ref="G111" r:id="rId36" xr:uid="{C204D749-6B2E-0E4F-9816-2906A6B22059}"/>
    <hyperlink ref="G120" r:id="rId37" xr:uid="{FEA4CEE9-2816-4241-A310-6E83F4982332}"/>
    <hyperlink ref="G8" r:id="rId38" xr:uid="{E5D5C225-75B0-B947-9958-1AA7A43E3D72}"/>
    <hyperlink ref="G22" r:id="rId39" xr:uid="{02248BB6-A7BE-C940-B48F-A934FB5AC172}"/>
    <hyperlink ref="G42" r:id="rId40" xr:uid="{7D32DA41-4E8B-FA4A-B3C9-C686E432DE01}"/>
    <hyperlink ref="G69" r:id="rId41" xr:uid="{4B115530-E3A9-E845-A8F7-B5AA5BF6E381}"/>
    <hyperlink ref="G114" r:id="rId42" xr:uid="{DAC93459-83C9-124F-A0B2-07CF3B1EE3B4}"/>
    <hyperlink ref="G99" r:id="rId43" xr:uid="{5BEA4FE6-1B81-B747-B6ED-AB33B63FD42C}"/>
    <hyperlink ref="G103" r:id="rId44" xr:uid="{0B4400F0-0A25-274F-860B-92D4F8C3217D}"/>
    <hyperlink ref="G116" r:id="rId45" xr:uid="{76EC1366-01B2-3F41-9E9E-D81F1B9AB7B9}"/>
    <hyperlink ref="G110" r:id="rId46" xr:uid="{191755DF-2DD8-EA4F-8E80-B600B2BB4707}"/>
    <hyperlink ref="G92" r:id="rId47" xr:uid="{C5735C74-F076-B247-9A16-641ADD77B455}"/>
    <hyperlink ref="G106" r:id="rId48" xr:uid="{E9C22105-CADD-1F43-B787-A9EE9FEC4682}"/>
    <hyperlink ref="G121" r:id="rId49" xr:uid="{4E8E18F5-B7DA-8B44-AAA4-0117DCAACB2B}"/>
    <hyperlink ref="G115" r:id="rId50" xr:uid="{16E8DB33-A51E-EA43-9BF6-738D1FCB15D4}"/>
    <hyperlink ref="G117" r:id="rId51" xr:uid="{B862F76C-D611-8845-82A4-3E5BB074A8B5}"/>
    <hyperlink ref="G118" r:id="rId52" xr:uid="{946E55CC-FEC6-C745-B82C-3E271B5BAF3C}"/>
    <hyperlink ref="G109" r:id="rId53" xr:uid="{3B462E27-E9BF-8E43-B8E5-C0610956F0A5}"/>
    <hyperlink ref="G119" r:id="rId54" xr:uid="{B13BFD18-3995-8D4B-8103-F1906D28A048}"/>
    <hyperlink ref="G122" r:id="rId55" xr:uid="{95D99B66-5C13-4D49-BC46-4E35F3621CA8}"/>
    <hyperlink ref="G124" r:id="rId56" xr:uid="{380DE8BB-CAE8-AE49-9F7D-AA98A472EBFC}"/>
    <hyperlink ref="G125" r:id="rId57" xr:uid="{4947D2F4-2CD7-2F47-B326-266A1FC90C13}"/>
    <hyperlink ref="G126" r:id="rId58" xr:uid="{59E8835F-6DD9-F64F-B41D-7077F43B7C97}"/>
    <hyperlink ref="G127" r:id="rId59" xr:uid="{76C8957C-4FB4-E74B-AEC3-4A99DFB7B37C}"/>
    <hyperlink ref="G128" r:id="rId60" xr:uid="{27CFEE09-A626-B443-995C-39C89C4E97F5}"/>
    <hyperlink ref="G129" r:id="rId61" xr:uid="{F4E7A329-FD33-6643-A0B8-A7E6EF4D59CF}"/>
    <hyperlink ref="G130" r:id="rId62" xr:uid="{71FED85C-7549-6A44-8276-5D38AF56A641}"/>
    <hyperlink ref="G131" r:id="rId63" xr:uid="{5E8D8845-953D-D146-80A0-EF88239782D1}"/>
    <hyperlink ref="G133" r:id="rId64" xr:uid="{41026924-239D-9941-8D46-39FD8D8B12C2}"/>
    <hyperlink ref="G134" r:id="rId65" xr:uid="{3C61DAD1-92B5-5F4A-B063-CA1F04082257}"/>
    <hyperlink ref="G135" r:id="rId66" xr:uid="{DFF5CAAE-73A1-7B4D-8C66-D22989F63E69}"/>
    <hyperlink ref="G144" r:id="rId67" xr:uid="{C5A7A766-D6E6-094C-91AD-355ABEB409C8}"/>
    <hyperlink ref="G146" r:id="rId68" xr:uid="{7BDD7A70-8553-CD4A-B953-8B6257BEA38B}"/>
    <hyperlink ref="G148" r:id="rId69" xr:uid="{31D52962-3E3F-F44A-939E-4DAB489D6A7B}"/>
    <hyperlink ref="G151" r:id="rId70" xr:uid="{A69E9A56-5A8D-F841-A058-3AA5D5A16A0C}"/>
    <hyperlink ref="G152" r:id="rId71" xr:uid="{D0CA8CA4-6CDB-EF41-AE73-0875609393AE}"/>
    <hyperlink ref="G154" r:id="rId72" xr:uid="{B61B8071-427E-1343-BF75-F515291A11A3}"/>
    <hyperlink ref="G153" r:id="rId73" xr:uid="{68875778-8E01-3140-972A-30BF5DE30CD3}"/>
    <hyperlink ref="G155" r:id="rId74" xr:uid="{18623922-D43D-C746-B2B2-B23593B0D99A}"/>
    <hyperlink ref="G156" r:id="rId75" xr:uid="{1AF8E2D4-D6E9-2D49-80F3-2E7A1E8F4A4B}"/>
    <hyperlink ref="G157" r:id="rId76" xr:uid="{4BCE6D2A-2BFF-4841-BA05-0A72B2F988CC}"/>
    <hyperlink ref="G161" r:id="rId77" xr:uid="{90C567DB-8EA9-4747-AB6C-F52287FBB205}"/>
    <hyperlink ref="G164" r:id="rId78" xr:uid="{0FCE9652-8561-F24C-A1A3-CBCCD9253B64}"/>
    <hyperlink ref="G167" r:id="rId79" xr:uid="{2B190382-4C76-F14D-89FA-55659D22FF33}"/>
    <hyperlink ref="G168" r:id="rId80" xr:uid="{CD5351D2-8CA4-8742-BA53-8DC595871706}"/>
    <hyperlink ref="G169" r:id="rId81" xr:uid="{81F1276F-6332-9249-9F5B-ED83465F3F8B}"/>
    <hyperlink ref="G171" r:id="rId82" xr:uid="{FDDCE00E-8BA8-4942-9E1C-860FC4F95D19}"/>
    <hyperlink ref="G172" r:id="rId83" xr:uid="{E71AE450-0816-5B48-AE7D-421DBC4FDECA}"/>
    <hyperlink ref="G173" r:id="rId84" xr:uid="{09F4DD3D-7A3C-C947-94AD-2BC3ABC2A520}"/>
    <hyperlink ref="G176" r:id="rId85" xr:uid="{3BB2CF4A-3FE5-F94B-989F-63E2B5FA12E1}"/>
    <hyperlink ref="G177" r:id="rId86" xr:uid="{2FBE57B0-4444-2C48-BBFE-0656F9B5DCF7}"/>
    <hyperlink ref="G178" r:id="rId87" xr:uid="{75DAF256-F6A8-0A42-A057-B5350B095D49}"/>
    <hyperlink ref="G179" r:id="rId88" xr:uid="{06BEC552-5CE3-9541-B2AF-A4321AE4FF4A}"/>
    <hyperlink ref="G182" r:id="rId89" xr:uid="{40B9660D-3AF5-BF48-8B51-285863930DFA}"/>
    <hyperlink ref="G183" r:id="rId90" xr:uid="{A9CB1257-632E-6E4A-88A0-8901DA0C5423}"/>
    <hyperlink ref="G184" r:id="rId91" xr:uid="{FBD1BD55-9A2A-D24B-8740-5DAFB7E70008}"/>
    <hyperlink ref="G186" r:id="rId92" xr:uid="{AE992B16-FA5A-E843-BE21-79B48AECF500}"/>
    <hyperlink ref="G188" r:id="rId93" xr:uid="{BEA49B13-F845-E748-807E-D82D6973E3AF}"/>
    <hyperlink ref="G192" r:id="rId94" xr:uid="{5B8E432D-A7FB-5E44-823E-55A96145FE60}"/>
    <hyperlink ref="G193" r:id="rId95" xr:uid="{8AD79BC7-D4C1-8449-A3F6-A1687F314F7E}"/>
    <hyperlink ref="G194" r:id="rId96" xr:uid="{CE912A20-953A-C846-8962-BA04BD905189}"/>
    <hyperlink ref="G195" r:id="rId97" xr:uid="{EA256D3C-7341-9245-97F4-963CEF8E9F0B}"/>
    <hyperlink ref="G196" r:id="rId98" xr:uid="{48026050-99EF-ED44-BECF-AFB752263133}"/>
    <hyperlink ref="G198" r:id="rId99" xr:uid="{9810470B-B9AB-484D-8E51-7A2460262156}"/>
    <hyperlink ref="G200" r:id="rId100" xr:uid="{9D0D54E7-82A9-2A4B-9A82-A2C728458893}"/>
    <hyperlink ref="G201" r:id="rId101" xr:uid="{0B9E8D93-9E2B-8141-9FA7-B83BFE36AB34}"/>
    <hyperlink ref="G202" r:id="rId102" xr:uid="{6CA61FAB-428D-8044-AA86-35A94A139F1C}"/>
    <hyperlink ref="G203" r:id="rId103" xr:uid="{BD7529D0-1DBD-A647-94FC-8174872A3F79}"/>
    <hyperlink ref="G205" r:id="rId104" xr:uid="{CA8A92FB-A80F-7C44-832F-9EB0F57DBF3A}"/>
    <hyperlink ref="G206" r:id="rId105" xr:uid="{1DC8BEA4-6E21-D04A-B64E-25BCE6A4ACAE}"/>
    <hyperlink ref="G208" r:id="rId106" xr:uid="{4A877F8B-30FC-3543-8019-3A180F2133F4}"/>
    <hyperlink ref="G211" r:id="rId107" xr:uid="{97C422DA-E8B5-3542-9F6E-2CDA2ABD19C7}"/>
    <hyperlink ref="G213" r:id="rId108" xr:uid="{D4BBAF2F-9BD5-D74F-AA6E-9F735260F44A}"/>
    <hyperlink ref="G214" r:id="rId109" xr:uid="{79E7EBB8-8C4D-E842-9D92-FCF2D0A3604A}"/>
    <hyperlink ref="G216" r:id="rId110" xr:uid="{858EF96F-2A13-D547-96A1-7A7FA3D385AF}"/>
    <hyperlink ref="G219" r:id="rId111" xr:uid="{88059818-1D2E-F343-9708-5A6753B146D0}"/>
    <hyperlink ref="G221" r:id="rId112" xr:uid="{214B1390-5DB1-0041-802D-5D741C3843B3}"/>
    <hyperlink ref="G223" r:id="rId113" xr:uid="{B9364A03-D802-3243-91E2-FA3B5E204363}"/>
    <hyperlink ref="G225" r:id="rId114" xr:uid="{8BBDEB5E-8A17-A342-AE1B-EE821727955B}"/>
    <hyperlink ref="G226" r:id="rId115" xr:uid="{04CF1131-8945-1C46-A4AB-72DE2CD44753}"/>
    <hyperlink ref="G227" r:id="rId116" xr:uid="{B10C6EE4-4EF5-0F46-A824-C4C97A8AB78B}"/>
    <hyperlink ref="G231" r:id="rId117" xr:uid="{130B75BF-1CBE-F44D-99DA-444D98D24F4F}"/>
    <hyperlink ref="G232" r:id="rId118" xr:uid="{012AFA52-F3C0-164D-B4B6-167CA46F66EF}"/>
    <hyperlink ref="G235" r:id="rId119" xr:uid="{C7ECDDA4-E042-6142-BC50-CC96D6EC4F72}"/>
    <hyperlink ref="G239" r:id="rId120" xr:uid="{30FBDB80-2D78-854F-B3FE-644F5F683BE3}"/>
    <hyperlink ref="G242" r:id="rId121" xr:uid="{3823F219-BD82-0542-8832-24C0B43A2AC9}"/>
    <hyperlink ref="G243" r:id="rId122" xr:uid="{827E2195-5CE4-AA43-95DA-D5BAC86A7C21}"/>
    <hyperlink ref="G246" r:id="rId123" xr:uid="{71ADE0ED-C277-A943-8C36-32607A6AC8F3}"/>
    <hyperlink ref="G247" r:id="rId124" xr:uid="{E3C237D0-D09D-6841-B31D-325A12783D38}"/>
    <hyperlink ref="G254" r:id="rId125" xr:uid="{3538AB5C-1B85-C744-A8F0-5ABCAA38FD92}"/>
    <hyperlink ref="G263" r:id="rId126" xr:uid="{DC715896-E914-BA45-AC99-994CEAD4D705}"/>
    <hyperlink ref="G268" r:id="rId127" xr:uid="{C518613B-1FCB-1E49-943A-75FBCF2F8DC7}"/>
    <hyperlink ref="G267" r:id="rId128" xr:uid="{A735E1C6-9340-8543-BAA2-6A8683D16759}"/>
    <hyperlink ref="G269" r:id="rId129" xr:uid="{4EBD74A3-C0EF-6542-AD1A-7128F35D08E2}"/>
    <hyperlink ref="G270" r:id="rId130" xr:uid="{32DBA8A5-DA72-3042-8A1F-A5B0C1092BB6}"/>
    <hyperlink ref="G273" r:id="rId131" xr:uid="{BDA3A660-99C7-2544-9DDA-5CC7EAD16FA6}"/>
    <hyperlink ref="G291" r:id="rId132" xr:uid="{B94E8135-202C-D349-B5F7-D05FB34623BD}"/>
    <hyperlink ref="G300" r:id="rId133" xr:uid="{65D3F2B5-C872-BB41-AE40-4AB5884439F9}"/>
    <hyperlink ref="G303" r:id="rId134" xr:uid="{54C5918D-5297-2F49-885F-B49CAD43A21E}"/>
    <hyperlink ref="G308" r:id="rId135" xr:uid="{AF5C3A73-F3C9-E94C-88AD-CED59F0DB9E9}"/>
    <hyperlink ref="G316" r:id="rId136" xr:uid="{68C7ADD1-95CD-7145-AF02-C5ECC252C2ED}"/>
    <hyperlink ref="G319" r:id="rId137" xr:uid="{BF1E87AC-F60A-954B-B104-6E94B67197BE}"/>
    <hyperlink ref="G320" r:id="rId138" xr:uid="{A6376B17-3C3E-1049-878B-87A3077C285D}"/>
    <hyperlink ref="G328" r:id="rId139" xr:uid="{C4288083-2398-9947-99C0-DC7FA5C294F1}"/>
    <hyperlink ref="G334" r:id="rId140" xr:uid="{9C5A15AC-8FAA-5145-B544-5F629F53FDE9}"/>
    <hyperlink ref="G335" r:id="rId141" xr:uid="{53395A9A-B5EA-C446-8FD7-7595727665CE}"/>
    <hyperlink ref="G337" r:id="rId142" xr:uid="{5544686C-01F5-8B4C-BD04-9F34DE4DCFE5}"/>
    <hyperlink ref="G339" r:id="rId143" xr:uid="{2A676D1F-439F-5145-955A-03F37D224AD2}"/>
    <hyperlink ref="G343" r:id="rId144" xr:uid="{A2EB251A-FA1D-FF44-8E57-C714E17E79CD}"/>
    <hyperlink ref="G348" r:id="rId145" xr:uid="{FA5C7053-30E3-D845-9386-72FF0B95FB60}"/>
    <hyperlink ref="G354" r:id="rId146" xr:uid="{AF571869-AF6C-3B47-9E13-6185C98FD236}"/>
    <hyperlink ref="G355" r:id="rId147" xr:uid="{D9FCCCE9-1C5D-754A-9541-AF723584C2CA}"/>
    <hyperlink ref="G356" r:id="rId148" xr:uid="{A7443D1F-27EA-E344-ABC3-B3A62655BE33}"/>
    <hyperlink ref="G364" r:id="rId149" xr:uid="{CC26D2D2-6A8D-B547-98CB-5FB82EC30E6E}"/>
    <hyperlink ref="G366" r:id="rId150" xr:uid="{56B3A9FD-0992-BF4A-B823-B39FAAD986E9}"/>
    <hyperlink ref="G367" r:id="rId151" xr:uid="{94CFDE3D-66B6-2B4E-9345-EC9CE61ECC6C}"/>
    <hyperlink ref="G369" r:id="rId152" xr:uid="{98442DD3-54D7-3943-AE7E-C11D2A3373C3}"/>
    <hyperlink ref="G374" r:id="rId153" xr:uid="{F4A67D41-58A8-5E43-9C7C-B0C8AA7FF3AD}"/>
    <hyperlink ref="G377" r:id="rId154" xr:uid="{6348E37D-B5A9-204B-ADED-EC06DCCDFC25}"/>
    <hyperlink ref="G378" r:id="rId155" xr:uid="{569B3B71-31DB-F848-9FF6-F4A3BD457919}"/>
    <hyperlink ref="G383" r:id="rId156" xr:uid="{BE4E94B2-11FC-6D45-8EE3-77A91CAA790A}"/>
    <hyperlink ref="G384" r:id="rId157" xr:uid="{98A0B85A-D479-C740-9693-D8C429F9C57C}"/>
    <hyperlink ref="G385" r:id="rId158" xr:uid="{09E865BE-628E-3045-B755-0CA2A1EC2733}"/>
    <hyperlink ref="G386" r:id="rId159" xr:uid="{804A9D89-1204-C249-9E04-54097D9CFDAF}"/>
    <hyperlink ref="G388" r:id="rId160" xr:uid="{85CD8253-E9E4-A148-878D-C4B5C724DC1B}"/>
    <hyperlink ref="G390" r:id="rId161" xr:uid="{9C7D5A81-8F6B-C345-BCAA-D8CFF6BB6961}"/>
    <hyperlink ref="G391" r:id="rId162" xr:uid="{AB877897-52AF-6D4B-B808-DEF54CEC52AB}"/>
    <hyperlink ref="G406" r:id="rId163" xr:uid="{1B94677B-D346-5A45-A146-0F18D7B55B7B}"/>
    <hyperlink ref="G407" r:id="rId164" xr:uid="{0CEAA358-871B-6646-A058-8CC2B85FE7BA}"/>
    <hyperlink ref="G411" r:id="rId165" xr:uid="{F37F54B6-FB28-2A4D-9EDD-9246537D96A4}"/>
    <hyperlink ref="G413" r:id="rId166" xr:uid="{EFCDE57A-21A4-9340-9C00-75947433031D}"/>
    <hyperlink ref="G414" r:id="rId167" xr:uid="{D8500AD1-0075-F84D-91BE-4EF964ECAD11}"/>
    <hyperlink ref="G415" r:id="rId168" xr:uid="{A1B86B52-1705-2B43-9DA3-A15889238854}"/>
    <hyperlink ref="G418" r:id="rId169" xr:uid="{E77BC12E-41FC-CD47-8DED-D967C8363500}"/>
    <hyperlink ref="G423" r:id="rId170" xr:uid="{4342892E-DC39-DB41-BBF9-E43893F93102}"/>
    <hyperlink ref="G424" r:id="rId171" xr:uid="{5EE015E0-2516-F34C-9024-B914B6C0EF8B}"/>
    <hyperlink ref="G426" r:id="rId172" xr:uid="{7F013F2B-49B3-DE43-8EA2-8BDF0AB42060}"/>
    <hyperlink ref="G425" r:id="rId173" xr:uid="{C052CD7C-890D-1549-8ECD-4A5B933236C0}"/>
    <hyperlink ref="G430" r:id="rId174" xr:uid="{8B26FB98-544C-5142-A9B0-69CC1CAD724B}"/>
    <hyperlink ref="G433" r:id="rId175" xr:uid="{5BE8F97A-6ECF-6A4C-AA04-AB5BA22AD891}"/>
    <hyperlink ref="G436" r:id="rId176" xr:uid="{DBF746BC-BA8A-FD4D-8E48-C4DA076FDA03}"/>
    <hyperlink ref="G437" r:id="rId177" xr:uid="{C86B2A51-683A-2E4F-B9EF-FCD720FB4585}"/>
    <hyperlink ref="G448" r:id="rId178" xr:uid="{E662562A-BDD9-4942-8E3E-B2CE01A41D4C}"/>
    <hyperlink ref="G450" r:id="rId179" xr:uid="{41DC985E-73FE-DE46-A41F-3E0E5575071B}"/>
    <hyperlink ref="G451" r:id="rId180" xr:uid="{4D22153B-A124-BA4A-988B-8F12E9BC6C58}"/>
    <hyperlink ref="G452" r:id="rId181" xr:uid="{F1D98DF0-D231-A247-823E-B2D2985E923A}"/>
    <hyperlink ref="G453" r:id="rId182" xr:uid="{EFBE4EAA-8CE8-E247-BF73-323BD35E0CA0}"/>
    <hyperlink ref="G454" r:id="rId183" xr:uid="{7AC3F539-943E-EF44-8608-A670EE830C0B}"/>
    <hyperlink ref="G455" r:id="rId184" xr:uid="{2730F8FA-F77C-9348-B39F-B42E8DBD4389}"/>
    <hyperlink ref="G456" r:id="rId185" xr:uid="{AAF430EE-A296-9A42-B6E5-FD04B92D9979}"/>
    <hyperlink ref="G457" r:id="rId186" xr:uid="{8392B56B-551A-7B46-A575-CD20F372342E}"/>
    <hyperlink ref="G458" r:id="rId187" xr:uid="{A51E323C-704E-4E4F-B8B9-EC7E2A8D276A}"/>
    <hyperlink ref="G459" r:id="rId188" xr:uid="{C2C6AD4E-B623-2E44-925F-19C967245B77}"/>
    <hyperlink ref="G461" r:id="rId189" xr:uid="{E6FCD79D-5788-8247-AF0B-DDF5964FCB7F}"/>
    <hyperlink ref="G460" r:id="rId190" xr:uid="{113BE082-D0E8-5A47-AE6E-C9A4C3AE4C78}"/>
    <hyperlink ref="G468" r:id="rId191" xr:uid="{5F027441-F033-6A45-8C6E-1B98903A74BB}"/>
    <hyperlink ref="G470" r:id="rId192" xr:uid="{E76742E8-51CF-DA49-A7FE-1037DBCBC56D}"/>
    <hyperlink ref="G473" r:id="rId193" xr:uid="{96CC1557-7B2B-EE49-8C00-BA60C3998EEF}"/>
    <hyperlink ref="G477" r:id="rId194" xr:uid="{566DFD92-C2E2-0540-8037-F5224EEA6FBF}"/>
    <hyperlink ref="G479" r:id="rId195" xr:uid="{2C5BCF11-7154-1B42-BB49-A7621ABEB270}"/>
    <hyperlink ref="G483" r:id="rId196" xr:uid="{5CF165B9-C8EB-DC49-ABB8-E82B7842CBD4}"/>
    <hyperlink ref="G482" r:id="rId197" xr:uid="{2BF36594-6068-1B40-9BDB-AEAEEEECA205}"/>
    <hyperlink ref="G489" r:id="rId198" xr:uid="{9DA728E1-A2B4-C84D-ACEA-78C776D61509}"/>
    <hyperlink ref="G490" r:id="rId199" xr:uid="{8453D98F-4A31-9B41-94F2-A05AE5721E9B}"/>
    <hyperlink ref="G493" r:id="rId200" xr:uid="{D372141B-DEE7-4A46-8A82-67110208B775}"/>
    <hyperlink ref="G494" r:id="rId201" xr:uid="{A1E4409B-996B-2847-B3CB-60726EB5B83F}"/>
    <hyperlink ref="G495" r:id="rId202" xr:uid="{0BA6E52A-7D49-4847-B18A-871A0B03E339}"/>
    <hyperlink ref="G497" r:id="rId203" xr:uid="{40EF9460-A3BD-AD4F-ADF2-9E7B8B7CCE18}"/>
    <hyperlink ref="G499" r:id="rId204" xr:uid="{85AE71D6-264A-1D44-8001-C17123A668EF}"/>
    <hyperlink ref="G500" r:id="rId205" xr:uid="{84DF0553-4117-EB44-B99B-17FC7D4B31FB}"/>
    <hyperlink ref="G502" r:id="rId206" xr:uid="{194FA568-6792-0949-B8AF-56E5C2325B8B}"/>
    <hyperlink ref="G504" r:id="rId207" xr:uid="{839CBB20-9B1A-5244-8260-9400ED9D5ACF}"/>
    <hyperlink ref="G503" r:id="rId208" xr:uid="{A076AE10-3581-A44A-9A0B-4A753B99403B}"/>
    <hyperlink ref="G506" r:id="rId209" xr:uid="{EEA0C8A9-AD15-0F4B-8B8D-6E5CFE886BF6}"/>
    <hyperlink ref="G505" r:id="rId210" xr:uid="{F8104FD3-4F94-CC4B-BECC-A3F1E7B2825B}"/>
    <hyperlink ref="G508" r:id="rId211" xr:uid="{7973F20E-DA1E-8C4A-9ED2-3835DEADD623}"/>
    <hyperlink ref="G507" r:id="rId212" xr:uid="{B01801CD-B80A-7E43-B734-14950237D469}"/>
    <hyperlink ref="G510" r:id="rId213" xr:uid="{4B5C9E26-9A1F-E744-9764-28BF5B71358D}"/>
    <hyperlink ref="G511" r:id="rId214" xr:uid="{281ACA71-7395-1247-8B44-DC6E420788D9}"/>
    <hyperlink ref="G512" r:id="rId215" xr:uid="{35A3CA81-9D2D-4942-88C8-A74E08F07DCB}"/>
    <hyperlink ref="G513" r:id="rId216" xr:uid="{44EA3137-C7D6-FA40-9261-A152CB80BA5A}"/>
    <hyperlink ref="G514" r:id="rId217" xr:uid="{7B8FF3C2-B0B0-AE41-8CB6-8A22A7E1C33F}"/>
    <hyperlink ref="G516" r:id="rId218" xr:uid="{25F0AC97-9786-604D-90BD-5BBE9935B9C6}"/>
    <hyperlink ref="G517" r:id="rId219" xr:uid="{8016C11E-7D84-8847-B8D9-1B5027628203}"/>
    <hyperlink ref="G518" r:id="rId220" xr:uid="{2D010EFB-BA64-1644-ADAF-2FDCA734ADA2}"/>
    <hyperlink ref="G519" r:id="rId221" xr:uid="{B22952A0-4A78-D648-A901-D7B8CB44E16A}"/>
    <hyperlink ref="G521" r:id="rId222" xr:uid="{1BC7BF22-E4EC-7646-B0B5-988D24684F59}"/>
    <hyperlink ref="G522" r:id="rId223" xr:uid="{66FD5725-526E-6C4C-A55F-C0E93F1FE471}"/>
    <hyperlink ref="G524" r:id="rId224" xr:uid="{B68BB099-EC6F-6C4F-A0D0-F7121A3BA782}"/>
    <hyperlink ref="G525" r:id="rId225" xr:uid="{6DC93198-288A-5848-A8DC-007E9ED1FC2A}"/>
    <hyperlink ref="G526" r:id="rId226" xr:uid="{DACCB002-92AE-BA49-A32E-808547D52D6D}"/>
    <hyperlink ref="G527" r:id="rId227" xr:uid="{19E6D261-D96B-BE45-99BB-561E9F8CB931}"/>
    <hyperlink ref="G528" r:id="rId228" xr:uid="{8827423E-6949-254F-A743-319BC0FE0705}"/>
    <hyperlink ref="G529" r:id="rId229" xr:uid="{16DD1A33-8761-0443-A10A-7F008BE7C265}"/>
    <hyperlink ref="G530" r:id="rId230" xr:uid="{FDE06128-6367-EF40-B9DD-635D934E6234}"/>
    <hyperlink ref="G531" r:id="rId231" xr:uid="{76E7F5B2-A138-C84E-A693-18C89F233699}"/>
    <hyperlink ref="G532" r:id="rId232" xr:uid="{EC933481-79D9-E04C-979E-4726909DD4BB}"/>
    <hyperlink ref="G533" r:id="rId233" xr:uid="{2016CCC4-D500-F343-9218-AC304A54D304}"/>
    <hyperlink ref="G534" r:id="rId234" xr:uid="{94E8972C-34ED-BC4C-8E8F-B86533F8E8CC}"/>
    <hyperlink ref="G535" r:id="rId235" xr:uid="{F3A26AA0-3BD0-1A4B-AFC7-CB5577E496DF}"/>
    <hyperlink ref="G538" r:id="rId236" xr:uid="{E2FC87B1-E037-5941-B810-8C1D22BC5499}"/>
    <hyperlink ref="G540" r:id="rId237" xr:uid="{33C1F45D-5B1F-384A-8D88-BD85D6FA9E71}"/>
    <hyperlink ref="G539" r:id="rId238" xr:uid="{FAF9F2AA-5615-F649-A840-44A2AB2CBEFB}"/>
    <hyperlink ref="G541" r:id="rId239" xr:uid="{F23FF5B7-46A9-BA4B-9CAA-AEA94F8F25BE}"/>
    <hyperlink ref="G542" r:id="rId240" xr:uid="{D8EC5754-B470-E84A-8F4A-B14AB3850718}"/>
    <hyperlink ref="G543" r:id="rId241" xr:uid="{B1A2E7C2-5401-9343-B567-B9C8058CFE2A}"/>
    <hyperlink ref="G544" r:id="rId242" xr:uid="{9F0974B0-4AD3-7647-8CF5-E51A118CA054}"/>
    <hyperlink ref="G545" r:id="rId243" xr:uid="{FBF5DA2D-2862-754A-A29C-F326EB23CF21}"/>
    <hyperlink ref="G547" r:id="rId244" xr:uid="{4E3FD961-0200-2F42-A7C4-BFCB6BE947F4}"/>
    <hyperlink ref="G546" r:id="rId245" xr:uid="{22991A8B-A57B-E349-A2D0-2CDEBAA1EDD6}"/>
    <hyperlink ref="G548" r:id="rId246" xr:uid="{90F5B6B8-6A17-5C4D-BB21-E7F9FFC359AE}"/>
    <hyperlink ref="G549" r:id="rId247" xr:uid="{333E0493-BC9F-D94E-86DE-A17A2550B373}"/>
    <hyperlink ref="G551" r:id="rId248" xr:uid="{A6BE3A5B-72F3-5D41-A21D-2D47904E584F}"/>
    <hyperlink ref="G552" r:id="rId249" xr:uid="{2B57FDF5-7B56-4047-A883-7218C09582FB}"/>
    <hyperlink ref="G553" r:id="rId250" xr:uid="{DFC750BE-45B9-DC4F-A740-8C6E52A006E8}"/>
    <hyperlink ref="G554" r:id="rId251" xr:uid="{2C5DF5DC-6A6D-8F42-9268-B6AC47677489}"/>
    <hyperlink ref="G555" r:id="rId252" xr:uid="{9709437B-B9A2-F045-8EBA-1CE6F592E50B}"/>
    <hyperlink ref="G556" r:id="rId253" xr:uid="{CF42EC08-C085-1D40-96D3-AFDF534EB145}"/>
    <hyperlink ref="G557" r:id="rId254" xr:uid="{C924AE8A-9615-A24D-B884-8FFE9E265CB1}"/>
    <hyperlink ref="G559" r:id="rId255" xr:uid="{FF9114D5-99DC-5047-BA16-BA30B7F46D3F}"/>
    <hyperlink ref="G562" r:id="rId256" xr:uid="{798FEF0E-E973-2243-9D53-879047541859}"/>
    <hyperlink ref="G560" r:id="rId257" xr:uid="{5B7A9DB5-4821-2942-94A3-41FE222854E5}"/>
    <hyperlink ref="G563" r:id="rId258" xr:uid="{0289FB2A-66D8-FE4A-9B62-5B54DF05E0FE}"/>
    <hyperlink ref="G565" r:id="rId259" xr:uid="{10FEAC57-6F90-5D4D-804E-8D7CE67593E9}"/>
    <hyperlink ref="G564" r:id="rId260" xr:uid="{79FACE16-753C-344C-93E3-B79A65AF1753}"/>
    <hyperlink ref="G566" r:id="rId261" xr:uid="{24B0681F-0AF8-FF46-A2F9-CD6F6B3F87E7}"/>
    <hyperlink ref="G567" r:id="rId262" xr:uid="{01EB89F2-63B6-714F-B60E-6E8C9DBF45EF}"/>
    <hyperlink ref="G568" r:id="rId263" xr:uid="{3DB7C175-30E4-3249-B5B6-F8E272FBE4E6}"/>
    <hyperlink ref="G570" r:id="rId264" xr:uid="{7874BD04-5821-7F4F-AD66-13B6EDED8087}"/>
    <hyperlink ref="G571" r:id="rId265" xr:uid="{2100D574-D960-284C-9102-C470A81319AF}"/>
    <hyperlink ref="G575" r:id="rId266" xr:uid="{BC480ABC-1EDD-1D4C-AD3E-CD096E5D2213}"/>
    <hyperlink ref="G576" r:id="rId267" xr:uid="{99DE4836-6C22-7041-9D5F-403374028C37}"/>
    <hyperlink ref="G578" r:id="rId268" xr:uid="{7858B8E0-836E-D044-AA24-767445EA05D1}"/>
    <hyperlink ref="G577" r:id="rId269" xr:uid="{B5B44C1B-8C3F-B848-ABE3-65037F7555CA}"/>
    <hyperlink ref="G579" r:id="rId270" xr:uid="{ACC73C6E-8ADE-9F45-BD6C-BBFB1325A7B4}"/>
    <hyperlink ref="G581" r:id="rId271" xr:uid="{13EE1412-4933-4148-8F31-0BD8FB2E5373}"/>
    <hyperlink ref="G583" r:id="rId272" xr:uid="{AF62CE84-08F6-4B4C-B55B-3F15D81B76CD}"/>
    <hyperlink ref="G584" r:id="rId273" xr:uid="{34A1CA9D-5C33-F740-85FB-0EDB49DEB558}"/>
    <hyperlink ref="G582" r:id="rId274" xr:uid="{2B61352D-8D3C-9D45-8F6E-3255C0FCCAA8}"/>
    <hyperlink ref="G585" r:id="rId275" xr:uid="{42A4EF94-6796-1147-92D2-2EFE3B9F4279}"/>
    <hyperlink ref="G586" r:id="rId276" xr:uid="{1DD498AA-9DA7-444A-905B-7917D153A458}"/>
    <hyperlink ref="G587" r:id="rId277" xr:uid="{7569F2B3-BA3B-C945-8303-18044B12BD68}"/>
    <hyperlink ref="G588" r:id="rId278" xr:uid="{0F9FB21E-0E5E-304A-840B-3222F0B79F12}"/>
    <hyperlink ref="G590" r:id="rId279" xr:uid="{68081043-5FF2-9747-834F-E7EB4BA06205}"/>
    <hyperlink ref="G589" r:id="rId280" xr:uid="{A87750D2-08F8-2B45-ADD6-3661D943BD83}"/>
    <hyperlink ref="G592" r:id="rId281" xr:uid="{C79FCB99-0ACE-8E4E-BEC7-B315751813CB}"/>
    <hyperlink ref="G591" r:id="rId282" xr:uid="{6BAC23B2-2AB8-4841-A989-E6BA1CFCCB7E}"/>
    <hyperlink ref="G593" r:id="rId283" xr:uid="{1BA601EB-3A7F-6044-835A-6CAFC644CBEC}"/>
    <hyperlink ref="G594" r:id="rId284" xr:uid="{1583CC66-A821-4F46-A9A0-93E16D228137}"/>
    <hyperlink ref="G595" r:id="rId285" xr:uid="{0E6C2E1C-FB7C-0D4A-ADE5-16234976614C}"/>
    <hyperlink ref="G596" r:id="rId286" xr:uid="{40F3710C-0F39-1C4E-A6B6-D92C21229615}"/>
    <hyperlink ref="G599" r:id="rId287" xr:uid="{442623AB-E12D-7E47-BA7A-7374DA96745A}"/>
    <hyperlink ref="G598" r:id="rId288" xr:uid="{416083AD-1157-6246-A56C-DB291DD6D69A}"/>
    <hyperlink ref="G597" r:id="rId289" xr:uid="{FAFE4185-1803-5741-8B43-E44644585C68}"/>
    <hyperlink ref="G601" r:id="rId290" xr:uid="{56447A39-4C3B-104D-9BE7-8A1819623665}"/>
    <hyperlink ref="G602" r:id="rId291" xr:uid="{FDEF67BB-2A4C-0A49-8A89-DEE7BB36FEC3}"/>
    <hyperlink ref="G600" r:id="rId292" xr:uid="{F91F5084-EF4A-A548-8E22-6EDFC2C63951}"/>
    <hyperlink ref="G603" r:id="rId293" xr:uid="{C58F1C4E-047B-514D-832F-59DF41AA699D}"/>
    <hyperlink ref="G604" r:id="rId294" xr:uid="{7EE329D1-BD32-4F47-A7F7-416E5CDF92BC}"/>
    <hyperlink ref="G606" r:id="rId295" xr:uid="{959882F8-004D-2D47-B7F1-37273C68F24D}"/>
    <hyperlink ref="G605" r:id="rId296" xr:uid="{3359C995-FB7A-C144-8119-F947F0267AF2}"/>
    <hyperlink ref="G607" r:id="rId297" xr:uid="{F26850B6-FF14-6E4B-97EA-A88783558BC2}"/>
    <hyperlink ref="G608" r:id="rId298" xr:uid="{826503B0-A91A-6044-9B30-F27CB5B01FFE}"/>
    <hyperlink ref="G610" r:id="rId299" xr:uid="{952EFEBB-BF62-544C-BE74-C0418C972BE4}"/>
    <hyperlink ref="G609" r:id="rId300" xr:uid="{D7D9B0F5-586A-0F48-B07C-295D1C303877}"/>
    <hyperlink ref="G611" r:id="rId301" xr:uid="{50F19E9E-55C0-564E-8FBF-905946340AED}"/>
    <hyperlink ref="G612" r:id="rId302" xr:uid="{59A8693B-C499-624E-831E-FD17E7375302}"/>
    <hyperlink ref="G613" r:id="rId303" xr:uid="{6DE9B2DE-5958-1746-B1EF-A6FA5B505C88}"/>
    <hyperlink ref="G615" r:id="rId304" xr:uid="{F2982402-F023-2F4C-B37E-8F1DDC61299A}"/>
    <hyperlink ref="G614" r:id="rId305" xr:uid="{5E03C66A-FBE8-924D-A07F-5C30714E53A7}"/>
    <hyperlink ref="G616" r:id="rId306" xr:uid="{40F1E9A6-238A-BE4A-A78E-3800A836B666}"/>
    <hyperlink ref="G617" r:id="rId307" xr:uid="{E69CE745-E828-7D4A-A3C7-15925FAA2E2D}"/>
    <hyperlink ref="G618" r:id="rId308" xr:uid="{3133AC7B-32F4-304B-90DA-BBA84A2E878E}"/>
    <hyperlink ref="G619" r:id="rId309" xr:uid="{C0B9E5F6-F786-FB40-BE52-E889838173EB}"/>
    <hyperlink ref="G620" r:id="rId310" xr:uid="{53880485-4A34-444B-927D-DFFAD36DBC4A}"/>
    <hyperlink ref="G622" r:id="rId311" xr:uid="{2CB03074-6421-6C4C-A2DC-48A9FCF01829}"/>
    <hyperlink ref="G621" r:id="rId312" xr:uid="{C39E42F6-D33F-3F42-9178-8B8335A84E09}"/>
    <hyperlink ref="G623" r:id="rId313" xr:uid="{AE83B6CA-0F91-9645-8060-010B49ED7A82}"/>
    <hyperlink ref="G625" r:id="rId314" xr:uid="{D83D12AE-4245-FD4B-B41A-B8B326CAC595}"/>
    <hyperlink ref="G624" r:id="rId315" xr:uid="{0D546432-4585-BF4B-8BE5-67FDAF74F9AB}"/>
    <hyperlink ref="G626" r:id="rId316" xr:uid="{94462F83-CF45-4244-8784-7355DF8BE045}"/>
    <hyperlink ref="G627" r:id="rId317" xr:uid="{296E3D03-68CA-5D4D-A441-F4FF2FAE6955}"/>
    <hyperlink ref="G629" r:id="rId318" xr:uid="{1F442340-D728-894E-B03C-A7427FDFF757}"/>
    <hyperlink ref="G628" r:id="rId319" xr:uid="{ED49ECA2-9F35-A64B-B2B6-0DBBEC8E4A0F}"/>
    <hyperlink ref="G630" r:id="rId320" xr:uid="{127D7938-5864-9044-8067-A57AFC4F4A27}"/>
    <hyperlink ref="G631" r:id="rId321" xr:uid="{DDBCCBA6-7AF8-3548-A5A7-ECCFA49FD303}"/>
    <hyperlink ref="G632" r:id="rId322" xr:uid="{CACEA26D-69D0-404D-9ADC-3D52B29A677E}"/>
    <hyperlink ref="G633" r:id="rId323" xr:uid="{9C0C8ADB-084A-5C4C-A462-72216983943D}"/>
    <hyperlink ref="G634" r:id="rId324" xr:uid="{9BBCADD0-7694-2A40-81B0-ADCE1B47F90C}"/>
    <hyperlink ref="G636" r:id="rId325" xr:uid="{DC24CCE5-1E5F-E144-B328-6F302B0944B1}"/>
    <hyperlink ref="G637" r:id="rId326" xr:uid="{16A7055D-4D3C-034E-8A7E-66EF8D3DAAAB}"/>
    <hyperlink ref="G638" r:id="rId327" xr:uid="{6DDAFFBF-8B08-AB41-8633-DF6287B60BB3}"/>
    <hyperlink ref="G643" r:id="rId328" xr:uid="{0D3DD956-3CF6-814A-A45A-D75FC4850CA5}"/>
    <hyperlink ref="G644" r:id="rId329" xr:uid="{5F3BDAA3-79B8-F045-9CB7-BA3C053FA146}"/>
    <hyperlink ref="G641" r:id="rId330" xr:uid="{37D9BF4D-F3CD-094B-BBA9-D3A9981CB07E}"/>
    <hyperlink ref="G640" r:id="rId331" xr:uid="{CF5FC085-DF6C-894E-910D-57BF1C30AC67}"/>
    <hyperlink ref="G642" r:id="rId332" xr:uid="{674B9A9B-92D1-5146-9429-99FAA3228961}"/>
    <hyperlink ref="G645" r:id="rId333" xr:uid="{C2AD2E3B-23A1-EA4B-9321-F37ACF79EA8E}"/>
    <hyperlink ref="G649" r:id="rId334" xr:uid="{6DF9BCC1-018B-B44A-B4FF-8DF971A7E7E8}"/>
    <hyperlink ref="G650" r:id="rId335" xr:uid="{A28C6642-9B62-C54B-8410-ED5E14480A1F}"/>
    <hyperlink ref="G651" r:id="rId336" xr:uid="{A73646F7-8685-6945-BF03-00F41F44A47B}"/>
    <hyperlink ref="G653" r:id="rId337" xr:uid="{FD8BDA69-8901-EB47-9ACC-A02F1B6B5879}"/>
    <hyperlink ref="G654" r:id="rId338" xr:uid="{804F0F51-FA20-4046-A524-7E2589257BB1}"/>
    <hyperlink ref="G662" r:id="rId339" xr:uid="{EF3327A7-BC47-D14E-8E55-BB910069555A}"/>
    <hyperlink ref="G665" r:id="rId340" xr:uid="{3B9CD120-0CAC-9C43-AA22-9157D531144A}"/>
    <hyperlink ref="G670" r:id="rId341" xr:uid="{C9283CFE-5643-8541-9513-9DED4ADB88CB}"/>
    <hyperlink ref="G671" r:id="rId342" xr:uid="{1F7C60A2-4768-6648-BED0-3255A0D50056}"/>
    <hyperlink ref="G677" r:id="rId343" xr:uid="{2BEA78E1-6251-A24B-98EF-FFEE68C478D5}"/>
    <hyperlink ref="G686" r:id="rId344" xr:uid="{63CF603B-BF89-3845-948F-72FD7A4ABD32}"/>
    <hyperlink ref="G691" r:id="rId345" xr:uid="{13527883-92F6-C44B-8178-C1C26C66445E}"/>
    <hyperlink ref="G693" r:id="rId346" xr:uid="{EBA1B131-DBB8-2C41-AD03-B91FB7FE998D}"/>
    <hyperlink ref="G694" r:id="rId347" xr:uid="{CF424DFD-FF5A-7D4D-A9BF-7CDFFF732A19}"/>
    <hyperlink ref="G700" r:id="rId348" xr:uid="{51476964-D7FB-5A40-9CF9-0E38C34088EF}"/>
    <hyperlink ref="G713" r:id="rId349" xr:uid="{86F2A96C-120C-4C43-97F6-9490C89A5074}"/>
    <hyperlink ref="G717" r:id="rId350" xr:uid="{7B78596A-AED2-5F4F-BB47-59F4F117F5F7}"/>
    <hyperlink ref="G723" r:id="rId351" xr:uid="{D681D529-2265-A549-AC7F-9A57F705ED40}"/>
    <hyperlink ref="G728" r:id="rId352" xr:uid="{684F9FA5-9F7F-0340-8B90-8FC4A6BFDCF9}"/>
    <hyperlink ref="G732" r:id="rId353" xr:uid="{E0396B75-EFD0-E04B-A103-D803C6FA1B75}"/>
    <hyperlink ref="G735" r:id="rId354" xr:uid="{4B1134C5-85ED-8141-A201-3D244520DE9F}"/>
    <hyperlink ref="G743" r:id="rId355" location="ref1" xr:uid="{8269ACD9-A245-314D-BDE6-DF2FDD54AAF9}"/>
    <hyperlink ref="G748" r:id="rId356" xr:uid="{41C31430-58CC-C847-9083-588CA02B862A}"/>
    <hyperlink ref="G756" r:id="rId357" xr:uid="{FDD901CC-A87C-0046-A99B-B7D25277A6FB}"/>
    <hyperlink ref="G773" r:id="rId358" xr:uid="{30C01A89-195F-1F4E-BE4D-B20C3E168707}"/>
    <hyperlink ref="G777" r:id="rId359" xr:uid="{BF540B1F-C114-2246-8F09-08AAE332EAD1}"/>
    <hyperlink ref="G779" r:id="rId360" xr:uid="{DBB08FB6-7E8F-9446-AD4E-1CCAF54A1308}"/>
    <hyperlink ref="G780" r:id="rId361" xr:uid="{0BA9556C-95BA-CF48-8138-6851DD649E33}"/>
    <hyperlink ref="G795" r:id="rId362" xr:uid="{D13EA9B6-7B8E-7148-8334-919C6653A3CC}"/>
    <hyperlink ref="G797" r:id="rId363" xr:uid="{0C6094D3-FF26-B243-A10E-7B607FB602F9}"/>
    <hyperlink ref="G816" r:id="rId364" xr:uid="{EAE77901-727E-E848-93BC-67D914D8D672}"/>
    <hyperlink ref="G826" r:id="rId365" xr:uid="{4AA511EA-F1DC-EF47-84E4-474E57EC6A20}"/>
    <hyperlink ref="G832" r:id="rId366" xr:uid="{0C483AD9-1025-BB49-9482-D986F751689E}"/>
    <hyperlink ref="G836" r:id="rId367" xr:uid="{EB1622BA-1636-424D-A0F9-FA9DA847F00B}"/>
    <hyperlink ref="G845" r:id="rId368" xr:uid="{069BD52B-22A1-5B4A-9C32-42A81162360D}"/>
    <hyperlink ref="G855" r:id="rId369" xr:uid="{07752482-B7E6-AC43-80DF-E0F9650A24F0}"/>
    <hyperlink ref="G858" r:id="rId370" xr:uid="{D7F5734B-3308-EA45-B145-CE639FE45ED6}"/>
    <hyperlink ref="G857" r:id="rId371" xr:uid="{67E69600-A0B7-BB46-9623-A2F76BBC3AEE}"/>
    <hyperlink ref="G866" r:id="rId372" display="Article" xr:uid="{9679F5A1-8651-284D-833C-336268C244F7}"/>
    <hyperlink ref="G870" r:id="rId373" xr:uid="{BF686318-AEDB-E845-878A-958E5F20016E}"/>
    <hyperlink ref="G878" r:id="rId374" xr:uid="{6721474E-A239-FE4C-856D-982037F6C492}"/>
    <hyperlink ref="G894" r:id="rId375" xr:uid="{D8F7DF45-3822-0747-8A45-21D9E3C853E7}"/>
    <hyperlink ref="G895" r:id="rId376" xr:uid="{2C940117-C4E2-A84B-9564-72757264D13D}"/>
    <hyperlink ref="G905" r:id="rId377" xr:uid="{01A8329D-2B30-F145-938B-93D2AE40BECC}"/>
    <hyperlink ref="G909" r:id="rId378" xr:uid="{07EBD3ED-1FD1-6E41-82AC-FFDA241690E1}"/>
    <hyperlink ref="G911" r:id="rId379" xr:uid="{0681D3D4-E550-9A44-B880-6D48414BCDAA}"/>
    <hyperlink ref="G912" r:id="rId380" xr:uid="{C5796797-1BCE-774A-B6DB-51CC4A127D88}"/>
    <hyperlink ref="G915" r:id="rId381" xr:uid="{833A41F1-3E4D-D94C-A29A-F4F66CEAD037}"/>
    <hyperlink ref="G918" r:id="rId382" xr:uid="{71C5B21A-ACA0-6142-B4F4-90E6166EDFAD}"/>
    <hyperlink ref="G920" r:id="rId383" xr:uid="{598FAE91-30B7-CF4C-A7B3-046AE44907CF}"/>
    <hyperlink ref="G924" r:id="rId384" xr:uid="{1AEB0B5C-1A87-7E41-8EF1-32DF2B7DE42A}"/>
    <hyperlink ref="G926" r:id="rId385" xr:uid="{E4529B41-CAAC-3D41-ADC5-238597970578}"/>
    <hyperlink ref="G929" r:id="rId386" xr:uid="{B9CD4D99-BFF7-804D-881A-43BAD3CCCE87}"/>
    <hyperlink ref="G933" r:id="rId387" xr:uid="{84CBDBA8-CF54-104D-88E3-3F2109FFD27B}"/>
    <hyperlink ref="G941" r:id="rId388" xr:uid="{2EAD5B16-00CB-EC45-ADF3-477E6FCFECCF}"/>
    <hyperlink ref="G948" r:id="rId389" xr:uid="{A6558596-2D3F-AD46-9B7B-D6639F6938B8}"/>
    <hyperlink ref="G950" r:id="rId390" xr:uid="{8EEB82D2-8D71-9146-AD8F-23464F52EC24}"/>
    <hyperlink ref="G952" r:id="rId391" xr:uid="{D888DBDB-487E-5149-80E9-ED728AF05985}"/>
    <hyperlink ref="G958" r:id="rId392" xr:uid="{D20FE387-3CBC-854C-B8FB-4E157CBBA1F0}"/>
    <hyperlink ref="G961" r:id="rId393" xr:uid="{6E50AAFE-EEFF-6849-9A3C-EB6BC24CDAE8}"/>
    <hyperlink ref="G964" r:id="rId394" xr:uid="{53E1731F-6033-B14F-8408-BA91413AF2C4}"/>
    <hyperlink ref="G968" r:id="rId395" xr:uid="{93C3795A-2BD0-C94A-AD36-EE08BA51FC0A}"/>
    <hyperlink ref="G970" r:id="rId396" xr:uid="{E84C1833-5A74-2042-9898-67DC4FED5A50}"/>
    <hyperlink ref="G971" r:id="rId397" xr:uid="{FE9DDD4C-8F89-8946-9B9F-97CA8C5AD007}"/>
    <hyperlink ref="G973" r:id="rId398" xr:uid="{E9FAD329-0A46-BD47-BF88-D1D69CDEC242}"/>
    <hyperlink ref="G979" r:id="rId399" xr:uid="{3C05693A-F06B-A744-8AFA-1C26F7B61B03}"/>
    <hyperlink ref="G1009" r:id="rId400" xr:uid="{70E9AFFF-38E0-1847-AE14-020DFEC3DA94}"/>
    <hyperlink ref="G1012" r:id="rId401" xr:uid="{119681C7-A049-8D46-A4D0-475446880A4D}"/>
    <hyperlink ref="G1013" r:id="rId402" xr:uid="{3930B503-E650-0A4D-A3CF-7B0845749DB8}"/>
    <hyperlink ref="G1017" r:id="rId403" xr:uid="{D60E383F-4D38-1644-A7C4-F6BC7C7DD1FC}"/>
    <hyperlink ref="G1018" r:id="rId404" xr:uid="{D7A2B53D-FD2C-1846-9A7A-9EAB34587CD4}"/>
    <hyperlink ref="G1019" r:id="rId405" xr:uid="{5855E5CF-3107-5A41-96F7-DB5A392613AC}"/>
    <hyperlink ref="G1020" r:id="rId406" xr:uid="{E0F9B89F-E6EE-DD43-B7C3-455BFB150E40}"/>
    <hyperlink ref="G1026" r:id="rId407" xr:uid="{DFE54D49-EEA1-C54F-A0FA-970F3AF53482}"/>
    <hyperlink ref="G1040" r:id="rId408" xr:uid="{038F45A4-B03F-8F41-B490-E224218FA601}"/>
    <hyperlink ref="G1045" r:id="rId409" xr:uid="{982E4CCA-C6C5-A74E-8BD4-6506C14B3BCC}"/>
    <hyperlink ref="G1049" r:id="rId410" xr:uid="{6D916BF1-E72A-6542-8ECB-58A0A91725A4}"/>
    <hyperlink ref="G1056" r:id="rId411" xr:uid="{CD8BE8FE-DD24-CB44-BF8F-F84D4D254889}"/>
    <hyperlink ref="G1062" r:id="rId412" xr:uid="{AA9A9A3B-2661-0A4F-8196-0BF0719C50A4}"/>
    <hyperlink ref="G1063" r:id="rId413" xr:uid="{61556A61-12F6-AC49-9446-6BAE1AB32A04}"/>
    <hyperlink ref="G1074" r:id="rId414" xr:uid="{F5333150-AA5F-6B4D-8B7B-81FCDD42A393}"/>
    <hyperlink ref="G1076" r:id="rId415" xr:uid="{D0999D99-375F-6D42-A428-A81225B324D3}"/>
    <hyperlink ref="G1077" r:id="rId416" xr:uid="{FE7040F9-5D37-9341-AC19-B6C354196C00}"/>
    <hyperlink ref="G1081" r:id="rId417" xr:uid="{7C93116E-7965-E142-AC83-19621DF7F2BF}"/>
    <hyperlink ref="G1084" r:id="rId418" xr:uid="{BCD32D93-A4DF-394A-8F73-9B695710CF73}"/>
    <hyperlink ref="G1086" r:id="rId419" xr:uid="{D3E19EB8-F971-C647-AC02-FD60EAA48068}"/>
    <hyperlink ref="G1100" r:id="rId420" xr:uid="{BFB3CE40-D222-6F4C-9ABB-81A121FC1F05}"/>
    <hyperlink ref="G1102" r:id="rId421" location="video" xr:uid="{F8954EBF-B785-4A41-B588-0ED3D4EFD02C}"/>
    <hyperlink ref="G1104" r:id="rId422" xr:uid="{97D53ECF-7738-E14C-BB7C-A94E06E42A29}"/>
    <hyperlink ref="G1107" r:id="rId423" xr:uid="{0AE8384D-3682-0E40-9A72-E522B5B598E3}"/>
    <hyperlink ref="G1111" r:id="rId424" xr:uid="{935007C1-8F02-174E-9E20-C8C2D6C671A3}"/>
    <hyperlink ref="G1120" r:id="rId425" xr:uid="{2E17DE7A-704A-774A-B2D1-D6DEF36C9CCF}"/>
    <hyperlink ref="G1135" r:id="rId426" xr:uid="{0CBB2015-F6D0-3D48-9B80-0B7651777C27}"/>
    <hyperlink ref="G1145" r:id="rId427" xr:uid="{C3670186-711E-AB4B-B6DA-3F07C4EF33B9}"/>
    <hyperlink ref="G1152" r:id="rId428" xr:uid="{91748219-9BE7-6F41-8CF1-3885A43816BC}"/>
    <hyperlink ref="G1163" r:id="rId429" xr:uid="{51AEFF12-3DA2-6B40-824D-36AF090A733A}"/>
    <hyperlink ref="G1170" r:id="rId430" xr:uid="{249DF4BF-8E9F-8D41-A360-7FC11C289016}"/>
    <hyperlink ref="G1183" r:id="rId431" xr:uid="{326236E8-28E8-8445-9114-5554ABE79059}"/>
    <hyperlink ref="G1186" r:id="rId432" xr:uid="{2A662921-BB38-9242-9886-62A54DE553EA}"/>
    <hyperlink ref="G1185" r:id="rId433" xr:uid="{A0A87BAF-BCBD-9B4B-8B1F-EC7B416BD58E}"/>
    <hyperlink ref="G1192" r:id="rId434" xr:uid="{6C2D38C2-B910-1F4C-B0A4-252C220EB5F2}"/>
    <hyperlink ref="G1193" r:id="rId435" xr:uid="{F04752F7-3915-C94C-8D7D-3EFCAC93F9AE}"/>
    <hyperlink ref="G1194" r:id="rId436" xr:uid="{84B6C372-491E-B244-9B5A-273A0CF0607B}"/>
    <hyperlink ref="G1201" r:id="rId437" xr:uid="{5764F6BD-686D-3041-89F4-2EE78E9E4652}"/>
    <hyperlink ref="G1209" r:id="rId438" xr:uid="{2CD2B6C1-82D9-FA42-85BC-78CF692755C9}"/>
    <hyperlink ref="G1212" r:id="rId439" xr:uid="{E3AF77DD-C264-274F-9206-F6AF3B6EB64E}"/>
    <hyperlink ref="G1213" r:id="rId440" xr:uid="{DC2EAC0A-BE38-5D49-B987-B6B5F8003BA8}"/>
    <hyperlink ref="G1242" r:id="rId441" xr:uid="{3A0B5BAC-F5CB-E546-841E-24A757BCD6EE}"/>
    <hyperlink ref="G1245" r:id="rId442" xr:uid="{8D135B1E-9A4E-664D-B38F-D3FBE1D9763C}"/>
    <hyperlink ref="G1249" r:id="rId443" xr:uid="{378684ED-54EC-EB44-9862-26CB717DF38F}"/>
    <hyperlink ref="G1258" r:id="rId444" xr:uid="{E02D3EDE-D222-244E-8CE0-A1F7C9EDA076}"/>
    <hyperlink ref="G1266" r:id="rId445" xr:uid="{65E9A311-1527-874A-9C2D-17C2D470C908}"/>
    <hyperlink ref="G1269" r:id="rId446" xr:uid="{298E27C6-0666-2142-91EF-62CBF6ADBADB}"/>
    <hyperlink ref="G1272" r:id="rId447" xr:uid="{3C3AD2F9-D376-2749-AE23-7591F7A02BB6}"/>
    <hyperlink ref="G1274" r:id="rId448" xr:uid="{1EFFB86F-9BE5-8747-AF85-C26FE986FC0A}"/>
    <hyperlink ref="G1276" r:id="rId449" xr:uid="{F043D133-D42D-924A-A49A-9FE5C60CF76F}"/>
    <hyperlink ref="G1285" r:id="rId450" xr:uid="{446E6124-52E3-9E48-9D98-A3384B69ED15}"/>
    <hyperlink ref="G1286" r:id="rId451" xr:uid="{07DBCD04-96B3-3B4F-B63D-50118FA767CC}"/>
    <hyperlink ref="G1289" r:id="rId452" xr:uid="{C0B441AC-3268-EA46-9401-33AC1C0A9754}"/>
    <hyperlink ref="G1294" r:id="rId453" xr:uid="{B7C5C42E-9C6D-0B46-931B-F69BA6B1CAC2}"/>
    <hyperlink ref="G1301" r:id="rId454" xr:uid="{A1DDA625-6296-4743-B72D-E5C9A243D6A2}"/>
    <hyperlink ref="G1323" r:id="rId455" xr:uid="{9BEA1624-63D6-CF40-972B-AAB232A07D3A}"/>
    <hyperlink ref="G1329" r:id="rId456" xr:uid="{B5613160-1D3E-334C-AB49-D6F4B782A0B2}"/>
    <hyperlink ref="G1327" r:id="rId457" xr:uid="{95523588-C639-114D-9A14-FB6BAC985CCC}"/>
    <hyperlink ref="G1328" r:id="rId458" xr:uid="{5185D6DD-2F84-B342-8087-726569764794}"/>
    <hyperlink ref="G1335" r:id="rId459" xr:uid="{478308D9-E8D1-734D-9F59-7E8C76B990E3}"/>
    <hyperlink ref="G1345" r:id="rId460" xr:uid="{DB3BB3B3-016E-764F-B7D7-7C33A954EFA1}"/>
    <hyperlink ref="G1346" r:id="rId461" xr:uid="{E32AC8C9-F4FD-D544-AF41-FBAD34003C26}"/>
    <hyperlink ref="G1348" r:id="rId462" xr:uid="{0630BA24-F095-DC44-A7DD-84B9CD6FFB7F}"/>
    <hyperlink ref="G1351" r:id="rId463" xr:uid="{AEF27530-45A5-4640-B6C0-523DB5863C03}"/>
    <hyperlink ref="G1357" r:id="rId464" xr:uid="{F3CDCEF6-AB3D-534B-97C7-E3C583035367}"/>
    <hyperlink ref="G1361" r:id="rId465" xr:uid="{2D9A8BE0-5C9F-AC44-8BDA-C81EA8E06268}"/>
    <hyperlink ref="G1362" r:id="rId466" xr:uid="{10E82EFE-B99E-8643-B7F9-58972A1AC2FC}"/>
    <hyperlink ref="G1366" r:id="rId467" xr:uid="{FFBE5A8F-5C7A-3D4A-91C0-96749D63872C}"/>
    <hyperlink ref="G1368" r:id="rId468" xr:uid="{AB4ED60B-43AE-7C49-A693-8A65AEE92949}"/>
    <hyperlink ref="G1371" r:id="rId469" xr:uid="{187CEAAA-3F89-D146-A83A-CE3052C827F7}"/>
    <hyperlink ref="G1387" r:id="rId470" xr:uid="{16C6D6C5-96B4-6E46-B331-3614B2059628}"/>
    <hyperlink ref="G1375" r:id="rId471" xr:uid="{F34E0A65-576A-474C-B23F-CB5540C678AD}"/>
    <hyperlink ref="G1380" r:id="rId472" xr:uid="{DF3BC798-7DBD-8740-84FF-4B0F9228D49C}"/>
    <hyperlink ref="G1386" r:id="rId473" xr:uid="{61D8E330-0B2A-BD43-89FA-2E50D7542038}"/>
    <hyperlink ref="G1354" r:id="rId474" xr:uid="{3CC55A69-E1E6-A846-B8EB-9D20C6D156B3}"/>
    <hyperlink ref="G1388" r:id="rId475" xr:uid="{A0183974-04B3-4045-93FC-85DE37EB22C2}"/>
    <hyperlink ref="G1396" r:id="rId476" xr:uid="{9FA598C7-EFC9-644E-B87B-0E786FFC9552}"/>
    <hyperlink ref="G1400" r:id="rId477" xr:uid="{F5287918-F7B1-9C4D-AAE6-850067562814}"/>
    <hyperlink ref="G1408" r:id="rId478" xr:uid="{47521327-07EE-9B4F-B407-38C5FA1F8288}"/>
    <hyperlink ref="G1416" r:id="rId479" xr:uid="{3CFC8F92-C909-7B49-8A19-6345D9FCEB8F}"/>
    <hyperlink ref="G1417" r:id="rId480" xr:uid="{18029605-6657-8443-BD59-273C177C5132}"/>
    <hyperlink ref="G1431" r:id="rId481" xr:uid="{0795FFCC-55BD-9443-B247-6153F4F1DE46}"/>
    <hyperlink ref="G1442" r:id="rId482" xr:uid="{939BE311-D3C7-7849-ACD8-BDEC1D5A71B1}"/>
    <hyperlink ref="G1458" r:id="rId483" xr:uid="{DFE1D937-CB68-8344-8CF5-946B7F3E4D9B}"/>
    <hyperlink ref="G1467" r:id="rId484" xr:uid="{29D47AFE-70D0-0246-92FB-66D8C27A41C0}"/>
    <hyperlink ref="G1474" r:id="rId485" xr:uid="{EE23AC92-D05B-CC45-A1D5-83BD4565154D}"/>
    <hyperlink ref="G1476" r:id="rId486" xr:uid="{06B9AA71-FAF7-8C41-A696-D2515D52B838}"/>
    <hyperlink ref="G1478" r:id="rId487" xr:uid="{FF9BEA7C-3E34-5D46-8665-39B6CA35BD7D}"/>
    <hyperlink ref="G1483" r:id="rId488" xr:uid="{106A05F5-D75B-8F49-84A3-12779E62A057}"/>
    <hyperlink ref="G1485" r:id="rId489" xr:uid="{F0952757-A526-1844-A89C-BEEB02DE83B6}"/>
    <hyperlink ref="G1488" r:id="rId490" xr:uid="{68C3C494-6F83-2646-B63A-AF1F6DCF28B1}"/>
    <hyperlink ref="G1491" r:id="rId491" xr:uid="{30E7ACBF-7F65-2F43-8C7A-75E4EC4DE409}"/>
    <hyperlink ref="G1493" r:id="rId492" xr:uid="{671EF94A-E279-5640-9CB1-03AC5C13E3BF}"/>
    <hyperlink ref="G1496" r:id="rId493" xr:uid="{C4156CE7-42CF-C144-AF0C-9328C6871167}"/>
    <hyperlink ref="G1499" r:id="rId494" xr:uid="{8A636AB1-2014-A743-AD2E-6381B2C6C395}"/>
    <hyperlink ref="G1502" r:id="rId495" xr:uid="{D7D11063-3C46-6C4B-81A4-0E9519DFE32C}"/>
    <hyperlink ref="G1503" r:id="rId496" xr:uid="{42372F5F-AD80-E943-AAD9-50E98C930B25}"/>
    <hyperlink ref="G1507" r:id="rId497" xr:uid="{F4FB2F3A-827A-2B45-BDBE-B89147EFCE12}"/>
    <hyperlink ref="G1514" r:id="rId498" xr:uid="{989C0754-E349-2741-876D-65F05476A59C}"/>
    <hyperlink ref="G1515" r:id="rId499" xr:uid="{2832EFDD-D20D-6645-AD77-43CB6F25EFE7}"/>
    <hyperlink ref="G1519" r:id="rId500" xr:uid="{FBCC6F16-28BB-454D-9A5B-4CA19E218354}"/>
    <hyperlink ref="G1520" r:id="rId501" xr:uid="{94C9CEBE-271A-C943-B242-0F1FCDBE1848}"/>
    <hyperlink ref="G1521" r:id="rId502" xr:uid="{3D5CDA19-B6AB-194A-B89D-EEBD1C0C7F00}"/>
    <hyperlink ref="G1523" r:id="rId503" xr:uid="{0B3494E1-F693-0B4B-BE68-393E8C0E23E1}"/>
    <hyperlink ref="G1526" r:id="rId504" xr:uid="{325F3155-2847-3F4B-806F-4DC2CD76DF73}"/>
    <hyperlink ref="G1524" r:id="rId505" xr:uid="{14D1692F-19DF-134E-A74F-0338C2372E9A}"/>
    <hyperlink ref="G1528" r:id="rId506" xr:uid="{E520A310-3689-E041-B76C-45A0EE1B37D5}"/>
    <hyperlink ref="G1529" r:id="rId507" xr:uid="{BA18C7CD-8693-364E-B726-282E8F463DEF}"/>
    <hyperlink ref="G1531" r:id="rId508" xr:uid="{1F161AA0-667C-2848-B3C0-D878F7157B01}"/>
    <hyperlink ref="G1534" r:id="rId509" xr:uid="{2A87837E-888F-A349-9F52-99794708450C}"/>
    <hyperlink ref="G1537" r:id="rId510" xr:uid="{C9FBEDC8-EAAC-5D4D-9B1E-DFA78929C32F}"/>
    <hyperlink ref="G1540" r:id="rId511" xr:uid="{A70BA87C-E9FE-9A42-BB73-DA8165A46FDD}"/>
    <hyperlink ref="G1541" r:id="rId512" xr:uid="{A344C247-DEC4-414C-9DF9-E8E42FCB734C}"/>
    <hyperlink ref="G1542" r:id="rId513" xr:uid="{45EA60D8-FE2E-444C-9021-66676A468255}"/>
    <hyperlink ref="G1547" r:id="rId514" xr:uid="{9EE16742-CDEA-0149-875D-4768177D6E3A}"/>
    <hyperlink ref="G1551" r:id="rId515" xr:uid="{27BC53EC-ABFB-A247-BAD0-4A61C40B9D97}"/>
    <hyperlink ref="G1553" r:id="rId516" xr:uid="{234F58C4-1EEB-DC47-803F-CC94CB49EBC8}"/>
    <hyperlink ref="G1559" r:id="rId517" xr:uid="{D1C67588-F720-8B49-B26F-523898184BBE}"/>
    <hyperlink ref="G1560" r:id="rId518" xr:uid="{423EC82B-3B2A-1042-93C6-E16792D7C575}"/>
    <hyperlink ref="G1561" r:id="rId519" xr:uid="{A9FEF15D-C86B-F34F-BEC8-80FB1AEF3C2F}"/>
    <hyperlink ref="G1562" r:id="rId520" xr:uid="{97F3DAF9-A124-E447-9D6A-84A106A684BF}"/>
    <hyperlink ref="G1565" r:id="rId521" xr:uid="{B928BB3E-609C-D344-B653-6239EE3BBC36}"/>
    <hyperlink ref="G1566" r:id="rId522" xr:uid="{E55CD776-6A09-D54A-80D4-2D7F488F86C7}"/>
    <hyperlink ref="G1568" r:id="rId523" xr:uid="{87ADAE74-D120-F14F-B3F9-5082D841071B}"/>
    <hyperlink ref="G1569" r:id="rId524" xr:uid="{F254CB08-9470-774A-95DE-8E2C37854EB9}"/>
    <hyperlink ref="G1571" r:id="rId525" xr:uid="{E44C0E97-386F-794E-BDFD-1E14B105BD45}"/>
    <hyperlink ref="G1572" r:id="rId526" xr:uid="{B8F54A15-60C8-F94B-B23F-5521E5DF736B}"/>
    <hyperlink ref="G1574" r:id="rId527" xr:uid="{0E6F3010-7E3A-0C4E-B922-0937E2D5853E}"/>
    <hyperlink ref="G1575" r:id="rId528" xr:uid="{BDFB99EE-7549-2445-B65E-164140F5B34A}"/>
    <hyperlink ref="G1576" r:id="rId529" xr:uid="{942F5497-5243-AF4B-BAAA-909AF0F0F8D6}"/>
    <hyperlink ref="G1577" r:id="rId530" xr:uid="{8B49C0BF-D92B-274F-AE48-8AC9537FF0A8}"/>
    <hyperlink ref="G1578" r:id="rId531" xr:uid="{CD9CA0CA-9CDD-6047-9A4B-E78AD4BA8E17}"/>
    <hyperlink ref="G1580" r:id="rId532" xr:uid="{4BE44805-8898-5B4E-9389-31FDF6F81F47}"/>
    <hyperlink ref="G1586" r:id="rId533" xr:uid="{4742BF3D-7D3F-5E44-9337-A4C3D2BF54DF}"/>
    <hyperlink ref="G1584" r:id="rId534" xr:uid="{DB3E577F-7711-AD4F-9ABE-BA0EBE818058}"/>
    <hyperlink ref="G1590" r:id="rId535" xr:uid="{03BEEACD-E37F-F645-9F96-C5D22770B73E}"/>
    <hyperlink ref="G1591" r:id="rId536" xr:uid="{59911E78-12B3-024C-BB71-2436C534C286}"/>
    <hyperlink ref="G1592" r:id="rId537" xr:uid="{453578D2-9039-D140-B33F-801676AE9F23}"/>
    <hyperlink ref="G1593" r:id="rId538" xr:uid="{E1D552EE-0349-B94E-B7F8-AC021486C937}"/>
    <hyperlink ref="G1594" r:id="rId539" xr:uid="{01335643-FE35-6B43-8167-35793E6F0F3C}"/>
    <hyperlink ref="G1595" r:id="rId540" xr:uid="{70AC151F-C96D-3D42-A360-AB4C38168419}"/>
    <hyperlink ref="G1596" r:id="rId541" xr:uid="{C6F82334-DB1E-BE4E-B4D7-EF2E7074D3DE}"/>
    <hyperlink ref="G1601" r:id="rId542" xr:uid="{4978E593-D6E4-4643-BF34-EEB4221FDF43}"/>
    <hyperlink ref="G1603" r:id="rId543" xr:uid="{2E0A6C29-6C7A-8047-A224-4D1B8CFBA05C}"/>
    <hyperlink ref="G1604" r:id="rId544" xr:uid="{4679BC39-90D5-1C4F-B9DF-EF1E1392BA41}"/>
    <hyperlink ref="G1608" r:id="rId545" xr:uid="{BB6D3BE0-2E3A-3F44-8F5A-2997E1B11FEB}"/>
    <hyperlink ref="G1612" r:id="rId546" xr:uid="{51AFAF96-2024-8241-B6DE-63D56C931FAD}"/>
    <hyperlink ref="G1613" r:id="rId547" xr:uid="{7E04A4B6-6856-DB4B-A8B4-C56B5C0EAF2C}"/>
    <hyperlink ref="G1618" r:id="rId548" xr:uid="{59D74492-1CE0-C940-B364-3C801D9EF8B5}"/>
    <hyperlink ref="G1617" r:id="rId549" xr:uid="{D7A18708-2A05-D749-8FCF-83A8796BA9F7}"/>
    <hyperlink ref="G1620" r:id="rId550" xr:uid="{9E5790A4-9BC5-4B4E-A1AB-94241C6C2B69}"/>
    <hyperlink ref="G1623" r:id="rId551" xr:uid="{258472BA-6881-534C-B4EA-D3E9A28E114F}"/>
    <hyperlink ref="G1625" r:id="rId552" xr:uid="{03563A31-ED38-4342-8260-333C7BEE4F24}"/>
    <hyperlink ref="G1626" r:id="rId553" xr:uid="{B0C4B228-4839-2D47-8E11-4809642D5E13}"/>
    <hyperlink ref="G1628" r:id="rId554" xr:uid="{02D49776-BCA7-AB46-9698-6783A30365BA}"/>
    <hyperlink ref="G1627" r:id="rId555" xr:uid="{3CBF5803-9E9F-3748-AEE8-F9F8A75BC38F}"/>
    <hyperlink ref="G1630" r:id="rId556" xr:uid="{4E09E80A-0B89-F94E-BA25-F93F6E043E40}"/>
    <hyperlink ref="G1631" r:id="rId557" xr:uid="{198446A2-5C9B-3142-8181-2CB86AD82ACC}"/>
    <hyperlink ref="G1632" r:id="rId558" xr:uid="{B24E399A-1895-334D-87D9-7826AACDAA75}"/>
    <hyperlink ref="G1633" r:id="rId559" xr:uid="{A80792BE-E967-6B45-9B11-3B400F7CF001}"/>
    <hyperlink ref="G1639" r:id="rId560" xr:uid="{53CB0A94-1112-114F-A743-6AC2C85DCE6E}"/>
    <hyperlink ref="G1640" r:id="rId561" xr:uid="{2701EC36-FC8C-D54E-8B40-6D0E8D987F4D}"/>
    <hyperlink ref="G1644" r:id="rId562" xr:uid="{9DD4C469-27EC-2042-B375-04C622356474}"/>
    <hyperlink ref="G1651" r:id="rId563" xr:uid="{AC933E76-27D3-A24B-98A0-79CC892F3696}"/>
    <hyperlink ref="G1655" r:id="rId564" xr:uid="{2E96FEEB-605E-3347-BCA4-2ADAB314D088}"/>
    <hyperlink ref="G1657" r:id="rId565" xr:uid="{6CDF8484-4E63-7B45-A3ED-C6881B5F9A76}"/>
    <hyperlink ref="G1663" r:id="rId566" xr:uid="{35928A05-3CB0-A548-AACE-3591E2FD81FE}"/>
    <hyperlink ref="G1664" r:id="rId567" xr:uid="{EA96FC60-CAFE-324B-B08B-A7D60CFB4DFA}"/>
    <hyperlink ref="G1668" r:id="rId568" xr:uid="{1F213D51-2582-5349-97CE-92345EE5480C}"/>
    <hyperlink ref="G1671" r:id="rId569" xr:uid="{49B0B9C9-2FF7-7443-993F-1BAFB153B72A}"/>
    <hyperlink ref="G1673" r:id="rId570" xr:uid="{478A9074-82DD-8E46-AA4A-0F888FA4FCD8}"/>
    <hyperlink ref="G1675" r:id="rId571" xr:uid="{B6CB250C-F6DC-8145-9647-3B88D92C65B0}"/>
    <hyperlink ref="G1680" r:id="rId572" xr:uid="{CB7BF674-9516-0648-A656-1FEF2C881D1C}"/>
    <hyperlink ref="G1682" r:id="rId573" xr:uid="{71A35DE6-EBEA-FE45-B5A7-8A862781FD34}"/>
    <hyperlink ref="G1683" r:id="rId574" xr:uid="{9E889BD2-056D-2148-A1B8-D32BD03A2027}"/>
    <hyperlink ref="G1687" r:id="rId575" xr:uid="{95EBB6DE-C804-EA4B-AC84-9E43CE35053E}"/>
    <hyperlink ref="G1688" r:id="rId576" xr:uid="{75694292-CBA2-2D4A-9101-880F673BBA0A}"/>
    <hyperlink ref="G1691" r:id="rId577" xr:uid="{25CF66F4-6436-3E42-8FCB-553995116FA5}"/>
    <hyperlink ref="G1692" r:id="rId578" xr:uid="{B0D62474-B651-AB45-874D-249697CEDB1A}"/>
    <hyperlink ref="G1695" r:id="rId579" xr:uid="{4FF7AFCC-1655-4341-81F8-3B4D4A75BDF1}"/>
    <hyperlink ref="G1696" r:id="rId580" xr:uid="{17428EA1-79E5-1B4C-937F-831A3B61BAF0}"/>
    <hyperlink ref="G1698" r:id="rId581" xr:uid="{BE61A810-D6B8-D240-A9AD-D4F1EB78EC04}"/>
    <hyperlink ref="G1704" r:id="rId582" xr:uid="{5B9DC4E2-282B-E444-9F45-C056F97B6151}"/>
    <hyperlink ref="G1706" r:id="rId583" xr:uid="{00C7887A-3A0E-7649-8A51-6728580321C8}"/>
    <hyperlink ref="G1707" r:id="rId584" xr:uid="{48E6872A-85DB-DC4A-98B8-C873A2211F2C}"/>
    <hyperlink ref="G1709" r:id="rId585" xr:uid="{9AD0D96F-7E65-F346-BB4B-9257446AD700}"/>
    <hyperlink ref="G1712" r:id="rId586" xr:uid="{89858693-4FA6-FD47-8BB5-3CF7923C227B}"/>
    <hyperlink ref="G1715" r:id="rId587" xr:uid="{CABC9D60-71B5-7947-BC17-0A599C27CFF9}"/>
    <hyperlink ref="G1717" r:id="rId588" xr:uid="{F7CF7030-0A47-9149-B38C-57CCFA309306}"/>
    <hyperlink ref="G1718" r:id="rId589" xr:uid="{79E07DD9-B2D7-404D-BC50-386A1EF2CFFB}"/>
    <hyperlink ref="G1720" r:id="rId590" xr:uid="{297A77C8-2470-DF45-A220-5BD523B65FD9}"/>
    <hyperlink ref="G1719" r:id="rId591" xr:uid="{95AF96B3-BC3B-E241-80EE-45208E87F0CA}"/>
    <hyperlink ref="G1721" r:id="rId592" xr:uid="{F8141D1B-F64E-EF47-B7F1-0304C51E9A77}"/>
    <hyperlink ref="G1728" r:id="rId593" xr:uid="{418DABC8-C301-3B41-B24E-5BCA0B13FB2F}"/>
    <hyperlink ref="G1731" r:id="rId594" xr:uid="{3DB8F2CD-8675-D349-A362-2FB2DCB3A445}"/>
    <hyperlink ref="G1732" r:id="rId595" xr:uid="{7F52F9A9-BC01-3D4E-A29C-E616D42D5EFD}"/>
    <hyperlink ref="G1736" r:id="rId596" xr:uid="{B49C3C2B-AA6F-BF4F-8497-84C11241059F}"/>
    <hyperlink ref="G1738" r:id="rId597" xr:uid="{D86D88C6-B8F0-5141-8F43-FE863132B489}"/>
    <hyperlink ref="G1739" r:id="rId598" xr:uid="{16B7F7DA-C1B5-3A4B-A194-0F32AA193CE9}"/>
    <hyperlink ref="G1743" r:id="rId599" xr:uid="{80B95298-4BC7-B646-BCFB-ED51327EA265}"/>
    <hyperlink ref="G1744" r:id="rId600" xr:uid="{4BBE18FD-1F0A-A340-99BE-D2A684B34F6F}"/>
    <hyperlink ref="G1745" r:id="rId601" xr:uid="{A1304DF4-8151-DA48-94DE-5A461F8954CA}"/>
    <hyperlink ref="G1747" r:id="rId602" xr:uid="{2C3EA268-A2AB-5240-B30B-C182343D98F8}"/>
    <hyperlink ref="G1749" r:id="rId603" xr:uid="{E04F52C4-177D-4642-A7A3-D7BD91DA3AA3}"/>
    <hyperlink ref="G1754" r:id="rId604" xr:uid="{228A0256-76BC-D948-A21C-9661E133E1FC}"/>
    <hyperlink ref="G1756" r:id="rId605" xr:uid="{BC6A5677-EAC8-2549-9634-5D85EA0BDE46}"/>
    <hyperlink ref="G1755" r:id="rId606" xr:uid="{88A20FEE-D7EC-474E-9FA1-751134EC4238}"/>
    <hyperlink ref="G1758" r:id="rId607" xr:uid="{3FB84E3B-3FD5-D646-BBE4-37777C564A44}"/>
    <hyperlink ref="G1759" r:id="rId608" xr:uid="{534EB87C-EA31-614B-BB49-2E1098F124A8}"/>
    <hyperlink ref="G1760" r:id="rId609" xr:uid="{01BA374F-C5EF-8E41-9AD8-F0C5F0C63805}"/>
    <hyperlink ref="G1762" r:id="rId610" xr:uid="{0DEF7683-90B2-E14B-BC9E-BF496E200904}"/>
    <hyperlink ref="G1764" r:id="rId611" xr:uid="{EFB1F03F-CCD8-424F-8964-8E7008271AE3}"/>
    <hyperlink ref="G1765" r:id="rId612" xr:uid="{5D6B438D-B8B2-FF4F-ABCA-8D4B44885584}"/>
    <hyperlink ref="G1766" r:id="rId613" xr:uid="{FF3023A2-D6DA-9743-92C2-24B460C95CC2}"/>
    <hyperlink ref="G1768" r:id="rId614" xr:uid="{AD5B16AF-D100-1E47-8A20-3A5F0F602384}"/>
    <hyperlink ref="G1770" r:id="rId615" xr:uid="{171AC103-65D6-0344-9A8A-ED375B478406}"/>
    <hyperlink ref="G1771" r:id="rId616" xr:uid="{5DA34D71-AEB1-7C4A-B417-76318247C86F}"/>
    <hyperlink ref="G1778" r:id="rId617" xr:uid="{719C89C2-E44B-FE41-B6DF-39375E3ECCB0}"/>
    <hyperlink ref="G1783" r:id="rId618" xr:uid="{6840B450-7408-8D45-962E-52C98D0EA3C7}"/>
    <hyperlink ref="G1784" r:id="rId619" xr:uid="{538C06FC-9EE1-3042-AFE7-D7A5EE498A14}"/>
    <hyperlink ref="G1785" r:id="rId620" xr:uid="{81501C32-B96A-8343-BD4E-47712DD41D7A}"/>
    <hyperlink ref="G1788" r:id="rId621" xr:uid="{D6AC7B2E-37C9-2046-9E2C-09204D2F486E}"/>
    <hyperlink ref="G1787" r:id="rId622" xr:uid="{5E970EBF-BF39-6C42-802B-3C3BF69BDE9D}"/>
    <hyperlink ref="G1792" r:id="rId623" xr:uid="{1FC47720-6E5C-524C-8D0E-A21F8EFE81C9}"/>
    <hyperlink ref="G1793" r:id="rId624" xr:uid="{DEA780ED-BE4D-2940-855B-2BC7EE38B34E}"/>
    <hyperlink ref="G1794" r:id="rId625" xr:uid="{33A34DA2-16A6-A047-A16F-3916FF6A4D97}"/>
    <hyperlink ref="G1796" r:id="rId626" xr:uid="{01925608-A37B-AE47-9044-FC6B0201B956}"/>
    <hyperlink ref="G1795" r:id="rId627" xr:uid="{019BAD3F-010D-684E-8DE8-12293272BB4D}"/>
    <hyperlink ref="G1800" r:id="rId628" xr:uid="{1693054C-32E6-5146-BAEB-F54CB0863700}"/>
    <hyperlink ref="G1802" r:id="rId629" xr:uid="{3CABF6BB-4E05-1545-B746-0709094375D0}"/>
    <hyperlink ref="G1801" r:id="rId630" xr:uid="{62FBD5F4-A71B-2A4F-B331-EF6F90817E7D}"/>
    <hyperlink ref="G1807" r:id="rId631" xr:uid="{D980C273-AB44-E942-91F9-9ED608F4E736}"/>
    <hyperlink ref="G1809" r:id="rId632" xr:uid="{D3F2F003-7631-B940-877C-2E39FD4DAD83}"/>
    <hyperlink ref="G1810" r:id="rId633" xr:uid="{AEED97DC-4ABA-2144-9986-82F57B6F271F}"/>
    <hyperlink ref="G1814" r:id="rId634" xr:uid="{74E45CD5-03D1-E34D-A38E-E2BB36427A4D}"/>
    <hyperlink ref="G1816" r:id="rId635" xr:uid="{D686F7EB-F2BC-FB4D-84FF-308717A2D89F}"/>
    <hyperlink ref="G1817" r:id="rId636" xr:uid="{75E66744-C9FF-E948-9D22-1722525DC434}"/>
    <hyperlink ref="G1819" r:id="rId637" xr:uid="{C519B923-98FC-0E41-A40A-FF2449778F4E}"/>
    <hyperlink ref="G1820" r:id="rId638" xr:uid="{AC2973F4-E39B-0840-B1B9-D4A1636A7339}"/>
    <hyperlink ref="G1823" r:id="rId639" xr:uid="{28E91AC4-4A23-BB4D-84F0-EB58381A8507}"/>
    <hyperlink ref="G1827" r:id="rId640" xr:uid="{F46A57FB-DCAC-DE40-9F05-3362B6D78A63}"/>
    <hyperlink ref="G1834" r:id="rId641" xr:uid="{AE13B5CC-9788-0B47-8BF5-DDB85204F6D8}"/>
    <hyperlink ref="G1836" r:id="rId642" xr:uid="{9DAB568B-9A5E-F74B-979F-DF55F87EC822}"/>
    <hyperlink ref="G1835" r:id="rId643" xr:uid="{FD9B05FE-8073-AC43-B827-FF8620F5BFAA}"/>
    <hyperlink ref="G1839" r:id="rId644" xr:uid="{80140549-3897-4D45-86FF-C36628F1CA67}"/>
    <hyperlink ref="G1841" r:id="rId645" xr:uid="{7B0FDF8B-D9C7-AC4E-88FC-E0B4FD7CD50A}"/>
    <hyperlink ref="G1843" r:id="rId646" xr:uid="{11EA0701-1A20-6A4A-92D2-33346210E7AF}"/>
    <hyperlink ref="G1844" r:id="rId647" xr:uid="{024F0229-7389-6342-BEB0-0C8E14D40439}"/>
    <hyperlink ref="G1845" r:id="rId648" xr:uid="{5BC8C0B7-C22C-A547-8798-9B1503AD3485}"/>
    <hyperlink ref="G1847" r:id="rId649" xr:uid="{73CD7239-1092-2F47-9372-0CCD6114AF8C}"/>
    <hyperlink ref="G1851" r:id="rId650" xr:uid="{6CE93A40-6D96-8C45-B70D-5FE506251469}"/>
    <hyperlink ref="G1852" r:id="rId651" xr:uid="{9F5AAF23-28D5-2740-B754-AC4ED643F9FB}"/>
    <hyperlink ref="G1853" r:id="rId652" xr:uid="{3E9DE8D2-BFA4-FB40-BDF3-21803DDEF553}"/>
    <hyperlink ref="G1857" r:id="rId653" xr:uid="{C68769B4-AFE0-2746-985E-D8F507566C30}"/>
    <hyperlink ref="G1859" r:id="rId654" xr:uid="{A3B2C6E3-6F0C-824B-A674-0CDAA162C4DF}"/>
    <hyperlink ref="G1862" r:id="rId655" xr:uid="{2222B707-42A0-5C45-B8A4-9A3AB6D8FAC8}"/>
    <hyperlink ref="G1866" r:id="rId656" xr:uid="{5709D1B3-0C3C-E848-BB52-1FF13605BE2A}"/>
    <hyperlink ref="G1867" r:id="rId657" xr:uid="{9DEAB9B4-9BB7-C344-95E0-AA26728E7F45}"/>
    <hyperlink ref="G1868" r:id="rId658" xr:uid="{38810178-3EA8-8B4B-B6F4-480C7CFD500D}"/>
    <hyperlink ref="G1872" r:id="rId659" xr:uid="{5A27D561-F98D-9A4C-81C3-3D4BA5C0D186}"/>
    <hyperlink ref="G1875" r:id="rId660" xr:uid="{81CC8C4F-AE64-D14A-91AC-95C736D7112E}"/>
    <hyperlink ref="G1879" r:id="rId661" xr:uid="{0BEAC0E6-AD74-2146-A805-1CBB6439A26D}"/>
    <hyperlink ref="G1881" r:id="rId662" xr:uid="{3FF0E899-7037-F442-A564-B3B09FD5E2D7}"/>
    <hyperlink ref="G1886" r:id="rId663" xr:uid="{ABACDD2D-7782-E247-9250-CDB31AA8E9F9}"/>
    <hyperlink ref="G1889" r:id="rId664" xr:uid="{E20B27EA-C96A-C848-98AD-4BF3F66CCC66}"/>
    <hyperlink ref="G1892" r:id="rId665" xr:uid="{B20ADA2E-62AE-FE42-97A4-DCE485DBBE3E}"/>
    <hyperlink ref="G1894" r:id="rId666" xr:uid="{DCCB55E6-FE56-0C4F-9A34-2C42EC39E8E3}"/>
    <hyperlink ref="G1895" r:id="rId667" xr:uid="{F189FB2C-2909-164A-B151-565EEB2DA5EA}"/>
    <hyperlink ref="G1897" r:id="rId668" xr:uid="{E85A0D77-01F2-454D-8519-AC237A5EE179}"/>
    <hyperlink ref="G1898" r:id="rId669" xr:uid="{9D51D255-1DE4-964C-A3E6-F9E7B7740474}"/>
    <hyperlink ref="G1900" r:id="rId670" xr:uid="{94EF838E-4BD3-A443-B17B-E1839FAE3B79}"/>
    <hyperlink ref="G1907" r:id="rId671" xr:uid="{D83F6BF1-3DFB-D641-BCFD-10ABD503E566}"/>
    <hyperlink ref="G1906" r:id="rId672" xr:uid="{BBD57FB2-09FC-D644-B2B1-9EF25DCB2151}"/>
    <hyperlink ref="G1909" r:id="rId673" xr:uid="{2B3A0E16-338E-F34D-921A-E25A4F2B14E9}"/>
    <hyperlink ref="G1910" r:id="rId674" xr:uid="{A89846B6-99E3-1E46-9274-8E3306765A31}"/>
    <hyperlink ref="G1912" r:id="rId675" xr:uid="{542D25BA-FA5F-AD47-928C-A09593BEC0B6}"/>
    <hyperlink ref="G1915" r:id="rId676" xr:uid="{F4FE42CF-0768-854C-9B6C-6D02CB12519A}"/>
    <hyperlink ref="G1913" r:id="rId677" xr:uid="{AB3D8674-E8F4-B049-9804-200B63C894D7}"/>
    <hyperlink ref="G1917" r:id="rId678" xr:uid="{575055AF-5D88-9046-965C-D1BDB7C9D236}"/>
    <hyperlink ref="G1918" r:id="rId679" xr:uid="{5FFF90CA-4410-7048-8031-AE07DE5738C7}"/>
    <hyperlink ref="G1921" r:id="rId680" xr:uid="{3182F308-4046-3A4B-8595-7F17A665EB1C}"/>
    <hyperlink ref="G1920" r:id="rId681" xr:uid="{5480AE4F-AF7F-8340-B29B-CD01863C6183}"/>
    <hyperlink ref="G1919" r:id="rId682" xr:uid="{D047AF96-8BE9-604C-B8C8-DA2A6CFE6F4F}"/>
    <hyperlink ref="G1922" r:id="rId683" xr:uid="{D90A908F-CF24-AA42-B683-BF73F7B427BF}"/>
    <hyperlink ref="G1923" r:id="rId684" xr:uid="{295D519A-FCF8-1043-81DA-45AD8F1668CE}"/>
    <hyperlink ref="G1925" r:id="rId685" xr:uid="{C29AC927-8E62-1F44-9EA1-EF962A2DD3CC}"/>
    <hyperlink ref="G1933" r:id="rId686" xr:uid="{4182A4EB-B68E-DC4F-A108-9CB955F1C768}"/>
    <hyperlink ref="G1932" r:id="rId687" xr:uid="{650665D8-4DBA-4344-8555-4C6955426C43}"/>
    <hyperlink ref="G1934" r:id="rId688" xr:uid="{8C968DC6-F7EA-EA4F-AC6A-ADCD5E345634}"/>
    <hyperlink ref="G1939" r:id="rId689" xr:uid="{53D5CA7E-F43C-2C45-8400-E2CB50CDB4F9}"/>
    <hyperlink ref="G1940" r:id="rId690" xr:uid="{FE217AF4-C9A7-FD42-B4A3-9D8C268119BE}"/>
    <hyperlink ref="G1941" r:id="rId691" xr:uid="{AD15DE10-197F-214B-8FB4-DFA6F585855E}"/>
    <hyperlink ref="G1942" r:id="rId692" xr:uid="{0B4E312B-2B2E-614F-B22E-C5B30F99CD2A}"/>
    <hyperlink ref="G1944" r:id="rId693" xr:uid="{88D5D29E-5532-2840-9B5D-18AABE519EB6}"/>
    <hyperlink ref="G1945" r:id="rId694" xr:uid="{8000CC32-0D02-E94D-BAB8-1F51251D43C4}"/>
    <hyperlink ref="G1946" r:id="rId695" xr:uid="{8D360F61-B266-DB47-85B4-59A3A572BF7D}"/>
    <hyperlink ref="G1947" r:id="rId696" xr:uid="{C7071CEB-F743-4C40-8AF1-03D15C32645A}"/>
    <hyperlink ref="G1949" r:id="rId697" xr:uid="{A950790C-12FF-8948-9D99-BA5930B077E6}"/>
    <hyperlink ref="G1950" r:id="rId698" xr:uid="{6FE105A2-C148-3741-94AD-F1E913A84197}"/>
    <hyperlink ref="G1953" r:id="rId699" xr:uid="{CED15FFE-5EA9-294F-AD90-987831A157A7}"/>
    <hyperlink ref="G1954" r:id="rId700" xr:uid="{C176809A-EAEB-4D4F-86DD-D8F1BC0B3C6F}"/>
    <hyperlink ref="G1956" r:id="rId701" xr:uid="{8641D968-AB35-DD4C-A54F-39A8726D6207}"/>
    <hyperlink ref="G1955" r:id="rId702" xr:uid="{83BA5FC0-CB57-1747-BD0C-563EB67857B9}"/>
    <hyperlink ref="G1958" r:id="rId703" xr:uid="{B0D284C5-CEAC-0446-974B-996BBB4656E2}"/>
    <hyperlink ref="G1960" r:id="rId704" xr:uid="{60D90D17-B968-CB46-8994-F183A29DD396}"/>
    <hyperlink ref="G1962" r:id="rId705" xr:uid="{286E192A-CFD1-FE45-BEE9-D77B1C3838D5}"/>
    <hyperlink ref="G1963" r:id="rId706" xr:uid="{8553158E-9EE6-4F4D-BB7D-27B775CC41C5}"/>
    <hyperlink ref="G1971" r:id="rId707" xr:uid="{5AED6263-D9E3-5148-B6DE-A935D987EC9A}"/>
    <hyperlink ref="G1972" r:id="rId708" xr:uid="{C9AA400E-A70B-6E46-BD84-5601D95ADEAF}"/>
    <hyperlink ref="G1974" r:id="rId709" xr:uid="{511FE7AA-0CC4-9741-BF1D-9B8BB32AD8C0}"/>
    <hyperlink ref="G1977" r:id="rId710" xr:uid="{BFF5403C-C147-E74D-914B-27DAB31C9F9D}"/>
    <hyperlink ref="K1975" r:id="rId711" xr:uid="{DCDCE183-0E39-2548-85E4-394B49542F6D}"/>
    <hyperlink ref="G1976" r:id="rId712" xr:uid="{F3A0E63C-6E47-9946-8041-D67EB529A54E}"/>
    <hyperlink ref="G1982" r:id="rId713" xr:uid="{6D488608-1012-654D-AEE1-1EBD9F798BCA}"/>
    <hyperlink ref="G1981" r:id="rId714" xr:uid="{13F3CA92-ED3A-E144-9AD9-A492DD488167}"/>
    <hyperlink ref="G1986" r:id="rId715" xr:uid="{76ACBB3B-D501-E048-8337-938C36063D65}"/>
    <hyperlink ref="G1987" r:id="rId716" xr:uid="{1244F911-8129-9446-8591-91FEE565BF82}"/>
    <hyperlink ref="G1992" r:id="rId717" xr:uid="{FF724A8B-963C-8448-8CA8-650A7A9FCE39}"/>
    <hyperlink ref="G1995" r:id="rId718" xr:uid="{5CC74308-1ABE-9E43-A5BD-67DECDDDF7E2}"/>
    <hyperlink ref="G1994" r:id="rId719" xr:uid="{FE2D1CCC-2F11-AF41-AE42-2A532C1D578A}"/>
    <hyperlink ref="G1996" r:id="rId720" xr:uid="{4E7B40FC-2F30-7845-82DE-0E70459E337C}"/>
    <hyperlink ref="G1997" r:id="rId721" xr:uid="{54E0C17D-4726-A04E-9318-11815F01C7F1}"/>
    <hyperlink ref="G1999" r:id="rId722" xr:uid="{9A9051AD-3693-AF40-918A-E0BC67E65171}"/>
    <hyperlink ref="G2000" r:id="rId723" xr:uid="{76BC6B5F-5518-3E4A-B8D2-BE7B04C5DA45}"/>
    <hyperlink ref="G2005" r:id="rId724" xr:uid="{0912E0A4-F851-924E-A686-A38E53D5D402}"/>
    <hyperlink ref="G2008" r:id="rId725" xr:uid="{07A59A9A-89F8-7544-B23D-09122770D229}"/>
    <hyperlink ref="G2011" r:id="rId726" xr:uid="{F2009FBF-0855-2044-ACCD-1607C5DD4B2D}"/>
    <hyperlink ref="G2012" r:id="rId727" xr:uid="{2E7B22C4-C2A7-A24F-A6E4-043F13835C35}"/>
    <hyperlink ref="G2015" r:id="rId728" xr:uid="{99D6BCF1-6B76-AA43-8431-088618B8D24F}"/>
    <hyperlink ref="G2014" r:id="rId729" xr:uid="{D5B35345-746D-F547-A7A7-7A99D3634445}"/>
    <hyperlink ref="G2020" r:id="rId730" xr:uid="{274841E2-6FF9-B046-955F-6F6077199B12}"/>
    <hyperlink ref="G2021" r:id="rId731" xr:uid="{BAF7C884-0E2C-154B-B44C-ED73299BEFB8}"/>
    <hyperlink ref="G2022" r:id="rId732" xr:uid="{A214A822-FA4B-5043-B44A-131A112FC874}"/>
    <hyperlink ref="G2026" r:id="rId733" xr:uid="{F0AA1837-D176-0E47-8851-BBB1C6E3D1B9}"/>
    <hyperlink ref="G2029" r:id="rId734" xr:uid="{F6D87AE5-359F-1040-A63E-5BFC04A42B98}"/>
    <hyperlink ref="G2032" r:id="rId735" xr:uid="{35DFAEEA-35F7-9645-AB2B-92A9780B1FA8}"/>
    <hyperlink ref="G2036" r:id="rId736" xr:uid="{7CF33E9C-B9BF-FC4C-8D34-3B8E0FA6227C}"/>
    <hyperlink ref="G2034" r:id="rId737" xr:uid="{02C572D7-DF30-CC44-9649-77078C16C85A}"/>
    <hyperlink ref="G2035" r:id="rId738" xr:uid="{B9C0FAE9-86C8-9445-A019-40B4944444D6}"/>
    <hyperlink ref="G2038" r:id="rId739" xr:uid="{5EE87625-9E95-DE4E-A721-AF7E3B5C8627}"/>
    <hyperlink ref="G2040" r:id="rId740" xr:uid="{5317AA1F-A88C-7045-B368-B934321A86FC}"/>
    <hyperlink ref="G2041" r:id="rId741" xr:uid="{BB78AC96-A5C0-4941-BEDE-2F69FE65C6AB}"/>
    <hyperlink ref="G2052" r:id="rId742" xr:uid="{F8803FD5-643C-2C43-80D4-89588D767A30}"/>
    <hyperlink ref="G2053" r:id="rId743" xr:uid="{E5912BD2-40B3-E14D-BD4F-6E14246CA791}"/>
    <hyperlink ref="G2054" r:id="rId744" xr:uid="{B8C94FFA-7537-E74F-B347-D548513C8CC8}"/>
    <hyperlink ref="G2055" r:id="rId745" xr:uid="{985C6A62-E33C-D548-964D-F88CDF9D6D99}"/>
    <hyperlink ref="G2056" r:id="rId746" xr:uid="{0DCA2E5C-2E17-CA4D-AC87-0406862302D2}"/>
    <hyperlink ref="G2059" r:id="rId747" xr:uid="{A594C331-ACA7-E745-AAF4-2F5133B306E1}"/>
    <hyperlink ref="G2058" r:id="rId748" xr:uid="{49EAC6F9-616A-9F42-801B-73CD13571680}"/>
    <hyperlink ref="G2057" r:id="rId749" xr:uid="{C7FA31C4-D60F-CE41-B021-20469A28E4F4}"/>
    <hyperlink ref="G2060" r:id="rId750" xr:uid="{C74D6B74-4DD8-0D40-8854-B6649C9C199B}"/>
    <hyperlink ref="G2065" r:id="rId751" xr:uid="{AAD55BBC-3FB6-3645-80BF-5C4473349679}"/>
    <hyperlink ref="G2066" r:id="rId752" xr:uid="{C0EA7E3E-D638-9649-BDAC-6AA80382E6E2}"/>
    <hyperlink ref="G2067" r:id="rId753" xr:uid="{230D8A51-BFB8-5746-9646-5E831316894E}"/>
    <hyperlink ref="G2069" r:id="rId754" xr:uid="{368377E1-4544-EC49-B7A2-80988740D73B}"/>
    <hyperlink ref="G2072" r:id="rId755" xr:uid="{49ACB15E-313B-964D-98CA-491FEDDE82B9}"/>
    <hyperlink ref="G2076" r:id="rId756" xr:uid="{4513798B-3B36-E448-9EBA-248DF8DBC3F4}"/>
    <hyperlink ref="G2079" r:id="rId757" xr:uid="{FA5A6D43-A4BE-8643-AD06-3427A81251DD}"/>
    <hyperlink ref="G2080" r:id="rId758" xr:uid="{200D7703-362B-DA46-8031-07029AA27E28}"/>
    <hyperlink ref="G2084" r:id="rId759" xr:uid="{9BC955C8-A00B-2E43-B9F4-16644EF00A74}"/>
    <hyperlink ref="G2088" r:id="rId760" xr:uid="{98FD54CE-A756-984C-BE7E-1C7C10A68B38}"/>
    <hyperlink ref="G2092" r:id="rId761" xr:uid="{B69F5F9A-1E5A-4949-8885-1ED01DE97FBB}"/>
    <hyperlink ref="G2093" r:id="rId762" xr:uid="{376E2059-5739-974F-B77E-A961F8027355}"/>
    <hyperlink ref="G2095" r:id="rId763" xr:uid="{37AE875F-EAF1-984E-BA68-B8E98C5B3E48}"/>
    <hyperlink ref="G2096" r:id="rId764" xr:uid="{AC6E4C36-F4B7-EA48-AE2D-93018F8AA8EF}"/>
    <hyperlink ref="G2103" r:id="rId765" xr:uid="{986E3940-FDBE-CA40-9C3A-314AE940F2DB}"/>
    <hyperlink ref="G2104" r:id="rId766" xr:uid="{D9C8A42B-30F8-2D4A-B9D0-ECC9634EBC59}"/>
    <hyperlink ref="G2105" r:id="rId767" xr:uid="{C2C5DF2E-B072-B749-9DEF-5B240823551C}"/>
    <hyperlink ref="G2106" r:id="rId768" xr:uid="{E2BF39F6-485D-E240-9920-D0D6EDFCC9F6}"/>
    <hyperlink ref="G2108" r:id="rId769" xr:uid="{7A50CA3F-4531-734F-8077-FF124B6A3D48}"/>
    <hyperlink ref="G2109" r:id="rId770" xr:uid="{2024E32E-7FC4-884D-B44F-C81D63AB1E1F}"/>
    <hyperlink ref="G2111" r:id="rId771" xr:uid="{AE844B8A-A9F2-F04D-A0D2-47E1BDD91EA6}"/>
    <hyperlink ref="G2110" r:id="rId772" xr:uid="{B606E5E6-FE81-EB4B-9CE5-35AD3CD3B417}"/>
    <hyperlink ref="G2115" r:id="rId773" xr:uid="{89A0A428-0059-AF4B-ADFA-90DD268D3041}"/>
    <hyperlink ref="G2117" r:id="rId774" xr:uid="{847C8560-CB88-EA4D-9422-3C77079769EC}"/>
    <hyperlink ref="G2120" r:id="rId775" xr:uid="{9FF7BAF5-1E80-E045-814A-E04C1527DF07}"/>
    <hyperlink ref="G2123" r:id="rId776" xr:uid="{64344990-C577-9A43-BF1A-1D3F60855D4D}"/>
    <hyperlink ref="G2124" r:id="rId777" xr:uid="{CED1BBC6-E81F-3440-A922-FB55B6A65CF3}"/>
    <hyperlink ref="G2127" r:id="rId778" xr:uid="{994D82B8-FA95-CD42-A35F-52AAFC69C176}"/>
    <hyperlink ref="G2126" r:id="rId779" xr:uid="{E1E680EB-6A6A-6F4F-A6FE-1CFC38EDB02D}"/>
    <hyperlink ref="G2130" r:id="rId780" xr:uid="{5F9E25D0-FEB5-C347-A4EA-11B437BDBE29}"/>
    <hyperlink ref="G2131" r:id="rId781" xr:uid="{C047CFB8-C193-854A-90E5-5196E3C79C44}"/>
    <hyperlink ref="G2133" r:id="rId782" xr:uid="{45397A52-AA25-194E-9515-166F257A650F}"/>
    <hyperlink ref="G2134" r:id="rId783" xr:uid="{3E823082-1F6E-AF41-89B1-E494534BA723}"/>
    <hyperlink ref="G1389" r:id="rId784" xr:uid="{14C1964F-DF1C-7140-9262-B836C787E4BC}"/>
    <hyperlink ref="G2136" r:id="rId785" xr:uid="{0E21EB00-9FE6-1D43-A668-DC0CBB2D5285}"/>
    <hyperlink ref="G2135" r:id="rId786" xr:uid="{750F608A-D829-A44E-B6DA-FDFCB0ED58BC}"/>
    <hyperlink ref="G2138" r:id="rId787" xr:uid="{1F1DD439-CA62-2C45-B8B2-8A602F118EBB}"/>
    <hyperlink ref="G2144" r:id="rId788" xr:uid="{9DBE2FD7-B3BF-654A-89CB-4D87B3BE41C1}"/>
    <hyperlink ref="G2145" r:id="rId789" xr:uid="{D39BC9BC-7B95-594D-8088-1FEB1719C4CC}"/>
    <hyperlink ref="G2146" r:id="rId790" xr:uid="{A80A0EA6-B930-7D44-8969-AAA7015566D8}"/>
    <hyperlink ref="G2148" r:id="rId791" xr:uid="{ED7F6255-CA6D-0944-AF19-B162BE27995C}"/>
    <hyperlink ref="G2152" r:id="rId792" xr:uid="{2764F00A-8209-9049-840F-2047C44BBEA7}"/>
    <hyperlink ref="G2153" r:id="rId793" xr:uid="{F750C778-3C62-144A-8234-DEBC73EF05B9}"/>
    <hyperlink ref="G2155" r:id="rId794" xr:uid="{2172DEBF-3B4D-8C4E-B91F-F06DA79E2413}"/>
    <hyperlink ref="G2157" r:id="rId795" xr:uid="{4EB754BB-78B7-D341-80C7-C00A3932CCD0}"/>
    <hyperlink ref="G2160" r:id="rId796" xr:uid="{C6624E06-C243-F242-BB5D-85C1EE8502B5}"/>
    <hyperlink ref="G2161" r:id="rId797" xr:uid="{1F076CE9-3E4B-3A40-95B5-6D043B74E087}"/>
    <hyperlink ref="G2162" r:id="rId798" xr:uid="{06B0C1E9-30CA-394D-83E1-D52C0CEFB970}"/>
    <hyperlink ref="G2164" r:id="rId799" xr:uid="{DB77FABD-A5D8-AD4B-BA2E-DD42D7CD12AB}"/>
    <hyperlink ref="G2165" r:id="rId800" xr:uid="{158430CF-7ABC-A045-BEC8-D44468EE508E}"/>
    <hyperlink ref="G2167" r:id="rId801" xr:uid="{B1B79683-2450-E542-B56D-9222CE8A25E7}"/>
    <hyperlink ref="G2166" r:id="rId802" xr:uid="{72EBA31D-45D4-AA4D-9482-939C20A1EE67}"/>
    <hyperlink ref="G2168" r:id="rId803" xr:uid="{BE26B7E0-D0AD-2C42-BEBB-B93101120926}"/>
    <hyperlink ref="G2170" r:id="rId804" xr:uid="{DA796EC1-C99C-814C-8D30-2F502276549B}"/>
    <hyperlink ref="G2169" r:id="rId805" xr:uid="{9A0F9F36-B543-8146-9206-52943AE414F3}"/>
    <hyperlink ref="G2171" r:id="rId806" xr:uid="{E3E7D787-DDE1-5442-81A0-2247DDEF2C0C}"/>
    <hyperlink ref="G2175" r:id="rId807" xr:uid="{2337E051-A5F1-7D4D-9324-68361BE48BCE}"/>
    <hyperlink ref="G2176" r:id="rId808" xr:uid="{86455BE6-794E-9749-BDEB-90CBC72967CF}"/>
    <hyperlink ref="G2179" r:id="rId809" xr:uid="{1244353F-8A9C-6F44-80F5-DAC8A211F014}"/>
    <hyperlink ref="G2181" r:id="rId810" xr:uid="{FA5477CE-C3A7-E94E-9D8A-850D9BC09548}"/>
    <hyperlink ref="G2186" r:id="rId811" xr:uid="{B6043949-8934-6B4E-B2FB-CCB9BDD208C7}"/>
    <hyperlink ref="G2188" r:id="rId812" xr:uid="{C782F90D-AFD0-9843-9EA9-3DFBE4F82421}"/>
    <hyperlink ref="G2191" r:id="rId813" xr:uid="{DE45A7FE-387D-7948-A898-553953637DB8}"/>
    <hyperlink ref="G2190" r:id="rId814" xr:uid="{F6518EA5-B056-9048-905A-0221D5AC312F}"/>
    <hyperlink ref="G2197" r:id="rId815" xr:uid="{16C7054E-CD19-DD4F-9424-8EBADB326383}"/>
    <hyperlink ref="G2198" r:id="rId816" xr:uid="{4D842AD2-6780-AF4E-9733-813D9DDCE25F}"/>
    <hyperlink ref="G2200" r:id="rId817" xr:uid="{92D9603D-3EBE-8A42-B062-DECF3A4AB222}"/>
    <hyperlink ref="G2202" r:id="rId818" xr:uid="{857684D3-3345-F042-8980-2338BD8F31C7}"/>
    <hyperlink ref="G2201" r:id="rId819" xr:uid="{528A18D1-A1A0-D540-9EFF-A65B7E34D304}"/>
    <hyperlink ref="G2204" r:id="rId820" xr:uid="{5C484DEF-594D-8F4E-9CDD-A2164E9703FF}"/>
    <hyperlink ref="G2206" r:id="rId821" xr:uid="{21E34509-8F9D-D04B-AAB5-80262D399A7C}"/>
    <hyperlink ref="G2207" r:id="rId822" xr:uid="{058F6CCC-34CE-0E46-9BB8-DE7775E61655}"/>
    <hyperlink ref="G2205" r:id="rId823" xr:uid="{0D4654B4-AD54-A145-B14D-FDBCDA7283CF}"/>
    <hyperlink ref="G2208" r:id="rId824" xr:uid="{840EFA5B-4DE4-5542-AE21-73B97D9C2A17}"/>
    <hyperlink ref="G2212" r:id="rId825" xr:uid="{697F9217-7BB8-0E45-A8DA-7C190D908325}"/>
    <hyperlink ref="G2218" r:id="rId826" xr:uid="{065E1258-2DE9-4B40-B2F2-798F6BCC052B}"/>
    <hyperlink ref="G2214" r:id="rId827" xr:uid="{56CD3965-9F53-D540-A0BE-43984A41E3F5}"/>
    <hyperlink ref="G2215" r:id="rId828" xr:uid="{D7924B89-BCBD-7B43-82F0-261536AE95EE}"/>
    <hyperlink ref="G2219" r:id="rId829" xr:uid="{6DC5777C-FA0D-A241-946D-D6C79669A16C}"/>
    <hyperlink ref="G2217" r:id="rId830" xr:uid="{5B3DF825-1E49-8F4A-AB36-53BADA73ED15}"/>
    <hyperlink ref="G2220" r:id="rId831" xr:uid="{E6FB255C-1B2B-734F-BC88-11DA42FFD309}"/>
    <hyperlink ref="G2225" r:id="rId832" xr:uid="{8C319248-9357-1948-98BD-5323471E0654}"/>
    <hyperlink ref="G2231" r:id="rId833" xr:uid="{3B85E9C0-0010-D34A-A246-B7B13CDFE971}"/>
    <hyperlink ref="G2230" r:id="rId834" xr:uid="{BF9FC53D-EED1-944E-90A7-1ADE3A93B93D}"/>
    <hyperlink ref="G2229" r:id="rId835" xr:uid="{9F53D941-921E-9D48-AB91-90D76D55B68C}"/>
    <hyperlink ref="G2233" r:id="rId836" xr:uid="{A85D2DF2-9A6D-6342-B3C7-B869E09B3249}"/>
    <hyperlink ref="G2236" r:id="rId837" xr:uid="{CE5A74E4-3585-F445-B086-593ECA59066A}"/>
    <hyperlink ref="G2240" r:id="rId838" xr:uid="{94DE1DD9-2B49-7646-8485-58E868902EFA}"/>
    <hyperlink ref="G2239" r:id="rId839" xr:uid="{218F888C-CD03-4340-9E27-05475E0CB415}"/>
    <hyperlink ref="G2238" r:id="rId840" xr:uid="{2631F6C0-2FF7-4B43-88F2-CBBF420EFB41}"/>
    <hyperlink ref="G2242" r:id="rId841" xr:uid="{F5C2980E-16C9-E448-9B60-C0AB50135E1E}"/>
    <hyperlink ref="G2244" r:id="rId842" xr:uid="{B00D312D-B852-EF4E-8EDE-9C1DF3DF2742}"/>
    <hyperlink ref="G2247" r:id="rId843" xr:uid="{CB386E82-E9D3-D74D-BC2F-75C0F73FFDA6}"/>
    <hyperlink ref="G2249" r:id="rId844" xr:uid="{89590984-A4F5-3F4B-8681-87B7CF9DCD46}"/>
    <hyperlink ref="G2253" r:id="rId845" xr:uid="{8F3081EF-CC44-2D43-998A-B59B91E25BE6}"/>
    <hyperlink ref="G2254" r:id="rId846" xr:uid="{D379D794-DDA3-E34B-A4CB-59708B6CECB5}"/>
    <hyperlink ref="G2257" r:id="rId847" xr:uid="{95B2A9F4-B4CB-F84D-88CC-9507235880D4}"/>
    <hyperlink ref="G2256" r:id="rId848" xr:uid="{154DBA1E-A02B-6946-B2DA-FA65FD51D461}"/>
    <hyperlink ref="G2259" r:id="rId849" xr:uid="{7338A8EA-C690-4743-8777-F217AC87D0A9}"/>
    <hyperlink ref="G2262" r:id="rId850" xr:uid="{5166B0EF-D8F2-8D4E-87BF-BCC79239771F}"/>
    <hyperlink ref="G2263" r:id="rId851" xr:uid="{8CB661FB-A164-F943-80B5-281BD4F8A43B}"/>
    <hyperlink ref="G2264" r:id="rId852" xr:uid="{BB715F03-D503-F641-AA8A-744730ABA5CE}"/>
    <hyperlink ref="G2269" r:id="rId853" xr:uid="{13BCEA03-302C-444C-81B9-7B81F76C6F3E}"/>
    <hyperlink ref="G2273" r:id="rId854" xr:uid="{8B45A2C3-4E22-C747-A4E8-7D9EDE8D1165}"/>
    <hyperlink ref="G2274" r:id="rId855" xr:uid="{4E7C18D3-4D7E-CA46-8376-DB6CD8A43AD5}"/>
    <hyperlink ref="G2272" r:id="rId856" xr:uid="{A0CCB0C6-0C16-3C46-8908-3CD07B91235B}"/>
    <hyperlink ref="G2271" r:id="rId857" xr:uid="{91801FB9-5910-6544-9F86-7945B1FB33B9}"/>
    <hyperlink ref="G2277" r:id="rId858" xr:uid="{CB0BC28C-E820-6044-A314-51F1A0D32852}"/>
    <hyperlink ref="G2276" r:id="rId859" xr:uid="{7ACA959F-64F2-6C4D-807E-AF19B085C191}"/>
    <hyperlink ref="G2279" r:id="rId860" xr:uid="{AC1E343A-F7B2-5A44-B5B4-8CD0EB3CF3C1}"/>
    <hyperlink ref="G2278" r:id="rId861" xr:uid="{81DB43CE-6BE5-1349-920B-26BC5BD76BBC}"/>
    <hyperlink ref="G2280" r:id="rId862" xr:uid="{62385A4C-E040-3040-9E2E-AEA6C3E817CE}"/>
    <hyperlink ref="G2285" r:id="rId863" xr:uid="{E6E4D042-55D9-ED40-9DFF-683FB35AE79C}"/>
    <hyperlink ref="G2283" r:id="rId864" xr:uid="{90F56DBB-75D3-A44E-9E32-CD30B48E7161}"/>
    <hyperlink ref="G2284" r:id="rId865" xr:uid="{E6E090DE-3912-5949-BEBE-00AFB4FEE27F}"/>
    <hyperlink ref="G2281" r:id="rId866" xr:uid="{E34F4888-E5B0-CC4A-9F65-B73432B1E4AE}"/>
    <hyperlink ref="G2288" r:id="rId867" xr:uid="{806F0FA2-9F6E-7448-8FD0-F0598D00FDD2}"/>
    <hyperlink ref="G2287" r:id="rId868" xr:uid="{8BB51495-A0F3-FE49-B166-70C7F0BEDBCD}"/>
    <hyperlink ref="G2292" r:id="rId869" xr:uid="{3EE2CA5B-4FC5-8A47-AB82-31E2EDFDE9E0}"/>
    <hyperlink ref="G2289" r:id="rId870" xr:uid="{6EBC83D1-AFBB-4045-B14E-826C97855300}"/>
    <hyperlink ref="G2291" r:id="rId871" xr:uid="{6C2FD058-ED58-A34F-961B-5A116AEC3182}"/>
    <hyperlink ref="G2290" r:id="rId872" xr:uid="{0D1F5876-E8B1-9341-AB20-C65B67141318}"/>
    <hyperlink ref="G2293" r:id="rId873" xr:uid="{19568F03-62CF-A944-BA44-6DA2A1224051}"/>
    <hyperlink ref="G2294" r:id="rId874" xr:uid="{AF5FDD28-C053-8649-A0FD-97CCC985D2C2}"/>
    <hyperlink ref="G2295" r:id="rId875" xr:uid="{74F7BD1E-C8D2-DC4A-AEB6-F23211D7C6B4}"/>
    <hyperlink ref="G2296" r:id="rId876" xr:uid="{3999DCCC-ECF9-6245-9AD4-82CD51126139}"/>
    <hyperlink ref="G2297" r:id="rId877" xr:uid="{98F710D4-E3D4-B748-A5FB-25A675EE7C0C}"/>
    <hyperlink ref="G2298" r:id="rId878" xr:uid="{021828D0-81D0-4042-A984-5567E86611EE}"/>
    <hyperlink ref="G2301" r:id="rId879" xr:uid="{C090BEB1-680A-B543-B290-0E211225FF93}"/>
    <hyperlink ref="G2299" r:id="rId880" xr:uid="{C1227CCC-6FE5-AE40-9D11-234D85D8A5B2}"/>
    <hyperlink ref="G2300" r:id="rId881" xr:uid="{1A5FDCCA-DABC-6944-94E4-BD5A25FAF451}"/>
    <hyperlink ref="G2302" r:id="rId882" xr:uid="{1AAAF724-619D-A548-B37A-33A9B1FEA0C5}"/>
    <hyperlink ref="G2303" r:id="rId883" xr:uid="{F032BE8D-CB20-BA4D-9FF8-2CAE7BE3161C}"/>
    <hyperlink ref="G2304" r:id="rId884" xr:uid="{5C0A2C4A-2811-AB44-8B4B-0C80EAED3E8B}"/>
    <hyperlink ref="G2307" r:id="rId885" xr:uid="{05A9E139-C286-4045-9CF3-07B2D55C53F6}"/>
    <hyperlink ref="G2310" r:id="rId886" xr:uid="{854F008A-BEB3-B74F-94E5-5334C4D1BC9B}"/>
    <hyperlink ref="G2308" r:id="rId887" xr:uid="{E856D946-F983-3B48-A7F6-74B687E9DCB7}"/>
    <hyperlink ref="G2315" r:id="rId888" xr:uid="{F777696D-B014-A641-9A2E-AFEAB2A7D76D}"/>
    <hyperlink ref="G2314" r:id="rId889" xr:uid="{D78D5A98-2ED3-E749-BADA-E83FE265A924}"/>
    <hyperlink ref="G2312" r:id="rId890" xr:uid="{65EDB4F7-28B3-3E4B-86D4-C1B1D58EFCDD}"/>
    <hyperlink ref="G2313" r:id="rId891" xr:uid="{32B1C3F2-FB76-6C43-825B-180D9D445518}"/>
    <hyperlink ref="G2316" r:id="rId892" xr:uid="{4FC0CA11-3A43-4B4D-AF9C-7FF57C26C95C}"/>
    <hyperlink ref="G2317" r:id="rId893" xr:uid="{8FFE1CBB-F2EB-7745-9C19-64356958405A}"/>
    <hyperlink ref="G2318" r:id="rId894" xr:uid="{3D75E17A-4108-BA43-B20F-9512C6854605}"/>
    <hyperlink ref="G2319" r:id="rId895" xr:uid="{0AB90CAE-285C-0F45-819B-134BF955E65D}"/>
    <hyperlink ref="G2323" r:id="rId896" xr:uid="{084DFD43-C796-7C43-A0AD-298E1CC138D7}"/>
    <hyperlink ref="G2322" r:id="rId897" xr:uid="{2ACC9ECC-C2CC-F14B-A323-1EF4EBDBFF87}"/>
    <hyperlink ref="G2321" r:id="rId898" xr:uid="{4F6B0AF2-A697-0640-9941-19B0CEA24D37}"/>
    <hyperlink ref="G2324" r:id="rId899" xr:uid="{A0AC91D6-BCE9-CF47-A450-B34E79814691}"/>
    <hyperlink ref="G2325" r:id="rId900" xr:uid="{E3E3F50B-D51B-2D4B-9FB1-EE58F41D8D08}"/>
    <hyperlink ref="G2327" r:id="rId901" xr:uid="{3021AD21-F2A2-E647-91E8-05C9A61C7BFA}"/>
    <hyperlink ref="G2326" r:id="rId902" xr:uid="{C3792928-275F-8D47-BFF3-ABE202C5269E}"/>
    <hyperlink ref="G2328" r:id="rId903" xr:uid="{78A411DE-DEFB-C543-8111-5AD5DD798ED3}"/>
    <hyperlink ref="G2329" r:id="rId904" xr:uid="{2E0F9694-D13B-724E-AA81-4EC3F9844D05}"/>
    <hyperlink ref="G2332" r:id="rId905" xr:uid="{A005DC86-5CBA-C541-808B-08362B8A7A6B}"/>
    <hyperlink ref="G2331" r:id="rId906" xr:uid="{847E4D47-D85A-8343-9FFE-6D67A2D9DE6F}"/>
    <hyperlink ref="G2333" r:id="rId907" xr:uid="{DE5854CD-2F24-5C44-9204-C2F380C09F0D}"/>
    <hyperlink ref="G2334" r:id="rId908" xr:uid="{16E34D4D-42B9-D44C-A950-8ADEF549F88F}"/>
    <hyperlink ref="G2337" r:id="rId909" xr:uid="{58AAE0F8-A1A7-C442-BB7E-678F577F40D3}"/>
    <hyperlink ref="G2335" r:id="rId910" xr:uid="{D98F7AF4-D55C-6641-AFEC-8D802171E681}"/>
    <hyperlink ref="G2340" r:id="rId911" xr:uid="{60B4D772-D261-A446-90DE-44AA824559DC}"/>
    <hyperlink ref="G2339" r:id="rId912" xr:uid="{6A740463-C0E6-E841-9ED1-06B29264A3BA}"/>
    <hyperlink ref="G2345" r:id="rId913" xr:uid="{9DC70107-1A02-AD4D-B557-1E2A62291A1B}"/>
    <hyperlink ref="G2342" r:id="rId914" xr:uid="{449CF74E-5724-8248-9F78-F1AC9A637A07}"/>
    <hyperlink ref="G2343" r:id="rId915" xr:uid="{5CC5939C-32BD-1142-AFC9-CD6A21DFCEF3}"/>
    <hyperlink ref="G2341" r:id="rId916" xr:uid="{64DFC6E9-CC2B-BA44-A55B-0DF54242B2D9}"/>
    <hyperlink ref="G2347" r:id="rId917" xr:uid="{454D5BB9-E23A-3F4C-9F98-915CC7DFB5C3}"/>
    <hyperlink ref="G2350" r:id="rId918" xr:uid="{3661F9A0-32AA-0744-BD9A-8BD5185B8489}"/>
    <hyperlink ref="G2346" r:id="rId919" xr:uid="{5D296010-A2B0-0E46-86DD-A0D622ECEA35}"/>
    <hyperlink ref="G2349" r:id="rId920" xr:uid="{628139F9-77A7-C941-BAA4-13AC7F1E4692}"/>
    <hyperlink ref="G2348" r:id="rId921" xr:uid="{310917DF-C785-A147-89B0-B88A3FEB46AC}"/>
    <hyperlink ref="G2352" r:id="rId922" xr:uid="{EA4FAA3B-5BEB-B14E-9647-93F8B27623C1}"/>
    <hyperlink ref="G2351" r:id="rId923" xr:uid="{2A4D2F6D-ABF0-3240-AC8E-9A920BFD646D}"/>
    <hyperlink ref="G2354" r:id="rId924" xr:uid="{4DF9A6EE-B0E2-2D4B-8334-0C65DE73A0E0}"/>
    <hyperlink ref="G2353" r:id="rId925" xr:uid="{26BD4A0A-2A3D-3948-A468-361108D2EF0F}"/>
    <hyperlink ref="G2356" r:id="rId926" xr:uid="{66E5EA34-3208-CE47-8AF5-0EA0A5BE2007}"/>
    <hyperlink ref="G2355" r:id="rId927" xr:uid="{6AA82AD7-5D10-0645-8034-E0D89A762910}"/>
    <hyperlink ref="G2357" r:id="rId928" xr:uid="{9860A844-856E-AB45-BD3C-CF3EB027F53A}"/>
    <hyperlink ref="G2358" r:id="rId929" xr:uid="{E3994C93-2852-564A-92CC-510B05F78E33}"/>
    <hyperlink ref="G2360" r:id="rId930" xr:uid="{B0B8FD69-8610-5A49-843F-49AEF2EE0B7D}"/>
    <hyperlink ref="G2362" r:id="rId931" xr:uid="{53F41717-1CC7-9F47-8D7E-736D6C55C7AB}"/>
    <hyperlink ref="G2364" r:id="rId932" xr:uid="{9D7E6980-7215-504E-B857-BB1E2039D3BA}"/>
    <hyperlink ref="G2367" r:id="rId933" xr:uid="{AC1C8AA4-5D75-EF4F-93C0-2A6FFBA36765}"/>
    <hyperlink ref="G2366" r:id="rId934" xr:uid="{4812BD2F-4552-CB48-B3E9-758D9A9E9791}"/>
    <hyperlink ref="G2369" r:id="rId935" xr:uid="{351B74BF-4171-DA4C-A203-4E5D3DE68279}"/>
    <hyperlink ref="G2371" r:id="rId936" xr:uid="{A311ECF6-5371-EA4F-8D49-8488FD8CD9D9}"/>
    <hyperlink ref="G2372" r:id="rId937" xr:uid="{1F20CBA7-AD49-1348-9326-FD836A940EC4}"/>
    <hyperlink ref="G2373" r:id="rId938" xr:uid="{DAD68A82-4951-934E-B5A0-00FEB30A07AA}"/>
    <hyperlink ref="G2374" r:id="rId939" xr:uid="{75F23C45-C127-C046-9279-EE4DE30D75AE}"/>
    <hyperlink ref="G2376" r:id="rId940" xr:uid="{E4640C97-312A-9D47-A64C-F0DDCAEF801F}"/>
    <hyperlink ref="G2377" r:id="rId941" xr:uid="{725BA02B-A9F1-0A44-A116-80F92A79C7DE}"/>
    <hyperlink ref="G2378" r:id="rId942" xr:uid="{9D9A5A39-BD75-C440-A008-33AB3C9E45B7}"/>
    <hyperlink ref="G2379" r:id="rId943" xr:uid="{44BE2410-8315-5541-A6DA-F7092AC8B678}"/>
    <hyperlink ref="G2380" r:id="rId944" xr:uid="{28C78D2E-7052-A84D-BAE9-4353300D01C4}"/>
    <hyperlink ref="G2381" r:id="rId945" xr:uid="{829CDA90-F6D5-414F-90F5-116B66274275}"/>
    <hyperlink ref="G2384" r:id="rId946" xr:uid="{EBB1587A-CD63-6F4F-A5A6-236D239571AB}"/>
    <hyperlink ref="G2386" r:id="rId947" xr:uid="{2E08A7E5-671C-6044-B4E2-F1FD7BDE9ECD}"/>
    <hyperlink ref="G2394" r:id="rId948" xr:uid="{E802EB01-94E7-2D43-9461-8E723F287E85}"/>
    <hyperlink ref="G2395" r:id="rId949" xr:uid="{DCB63E24-CFA2-B24D-A5AF-EA6D70F76896}"/>
    <hyperlink ref="G1965" r:id="rId950" xr:uid="{9D45725C-D6CB-DC48-ABC1-462B98B7181E}"/>
    <hyperlink ref="G1522" r:id="rId951" xr:uid="{933CBDB2-18DF-054F-BB65-ABBDCF90D3E1}"/>
    <hyperlink ref="G2223" r:id="rId952" xr:uid="{408BD80F-2E3E-1C4A-985B-1828367D2FE0}"/>
    <hyperlink ref="G1585" r:id="rId953" xr:uid="{DBD85ACE-1BCC-024C-9761-DF27CD0E1047}"/>
    <hyperlink ref="G2270" r:id="rId954" xr:uid="{BCF69612-2CCE-6B40-9AA0-183C001FAB6F}"/>
    <hyperlink ref="G2260" r:id="rId955" xr:uid="{FC900B2F-9585-D544-840E-D33223DCC8E0}"/>
    <hyperlink ref="G1144" r:id="rId956" xr:uid="{2405BD76-D234-0B4C-83D7-D237BF8964FB}"/>
    <hyperlink ref="G1681" r:id="rId957" xr:uid="{9DB348D0-0A71-8A4B-A010-F50EDFBE9BE5}"/>
    <hyperlink ref="G2393" r:id="rId958" xr:uid="{511944A1-2298-B14C-867A-59B86B213BAE}"/>
    <hyperlink ref="G2383" r:id="rId959" xr:uid="{14184030-04E2-8449-9D74-6CA9FCFC6E72}"/>
    <hyperlink ref="G2382" r:id="rId960" xr:uid="{AA3044EB-CCE4-EA44-81D4-481CFCD0116C}"/>
    <hyperlink ref="G2365" r:id="rId961" xr:uid="{8ECCA429-3295-7F49-B90E-21CB2F8493A7}"/>
    <hyperlink ref="G2361" r:id="rId962" xr:uid="{40EFE9CB-61C3-3349-A7CF-55A57B2EEAC0}"/>
    <hyperlink ref="G2359" r:id="rId963" xr:uid="{1507EE3E-7275-5345-A59C-A43B0B987481}"/>
    <hyperlink ref="G2363" r:id="rId964" xr:uid="{224A0AFD-DB3C-694A-A9E4-92AED6110E10}"/>
    <hyperlink ref="G2375" r:id="rId965" xr:uid="{D92F9B6F-B8CA-7A45-A76F-4EE42EF769F5}"/>
    <hyperlink ref="G2385" r:id="rId966" xr:uid="{7FFCF577-7BFB-E045-96B6-A1BEDD9BB85A}"/>
    <hyperlink ref="G2387" r:id="rId967" xr:uid="{B0815056-60CD-F149-A446-DEB0F07E527F}"/>
    <hyperlink ref="G2389" r:id="rId968" xr:uid="{4D7946D1-A11B-3043-AA59-B3100138546B}"/>
    <hyperlink ref="G2388" r:id="rId969" xr:uid="{1FCD947B-37F0-2943-A1A9-601A862314C9}"/>
    <hyperlink ref="G2390" r:id="rId970" xr:uid="{7268DCA2-0E91-1B4E-B268-BA14D6A33791}"/>
    <hyperlink ref="G2391" r:id="rId971" xr:uid="{31EC7234-F942-C544-85C5-B53E88B668F9}"/>
    <hyperlink ref="G2392" r:id="rId972" xr:uid="{A77A8166-5D82-974E-AC1E-6FDE6D6F34C7}"/>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446FD-DA7D-D041-986B-41C115ECE3EE}">
  <dimension ref="A1"/>
  <sheetViews>
    <sheetView workbookViewId="0"/>
  </sheetViews>
  <sheetFormatPr baseColWidth="10" defaultRowHeight="16"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Integrated Table 1 - 4</vt:lpstr>
      <vt:lpstr>Sheet1</vt:lpstr>
      <vt:lpstr>'Integrated Table 1 - 4'!_ftnref1</vt:lpstr>
      <vt:lpstr>'Integrated Table 1 - 4'!_ftnref2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2020-09-03T01:29:54Z</dcterms:created>
  <dcterms:modified xsi:type="dcterms:W3CDTF">2020-09-03T01:41:10Z</dcterms:modified>
</cp:coreProperties>
</file>